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/>
  <bookViews>
    <workbookView xWindow="480" yWindow="330" windowWidth="11115" windowHeight="6405" activeTab="4"/>
  </bookViews>
  <sheets>
    <sheet name="Budget 15-16" sheetId="1" r:id="rId1"/>
    <sheet name="Budget 16 - 17" sheetId="2" r:id="rId2"/>
    <sheet name="Budget 17-18" sheetId="3" r:id="rId3"/>
    <sheet name="Budget 18-19" sheetId="4" r:id="rId4"/>
    <sheet name="Budget 19-20" sheetId="5" r:id="rId5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7" i="5" l="1"/>
  <c r="K49" i="5" l="1"/>
  <c r="J54" i="5"/>
  <c r="E53" i="5"/>
  <c r="E52" i="5"/>
  <c r="E47" i="5"/>
  <c r="J47" i="5" s="1"/>
  <c r="E46" i="5"/>
  <c r="E45" i="5"/>
  <c r="E44" i="5"/>
  <c r="E42" i="5"/>
  <c r="E41" i="5"/>
  <c r="E40" i="5"/>
  <c r="E37" i="5"/>
  <c r="J37" i="5" s="1"/>
  <c r="E36" i="5"/>
  <c r="E35" i="5"/>
  <c r="E34" i="5"/>
  <c r="E33" i="5"/>
  <c r="E32" i="5"/>
  <c r="J32" i="5" s="1"/>
  <c r="E31" i="5"/>
  <c r="J30" i="5"/>
  <c r="E29" i="5"/>
  <c r="E24" i="5"/>
  <c r="E23" i="5"/>
  <c r="E22" i="5"/>
  <c r="E21" i="5"/>
  <c r="J21" i="5" s="1"/>
  <c r="E20" i="5"/>
  <c r="J20" i="5" s="1"/>
  <c r="E19" i="5"/>
  <c r="J19" i="5" s="1"/>
  <c r="E17" i="5"/>
  <c r="J17" i="5" s="1"/>
  <c r="E16" i="5"/>
  <c r="E15" i="5"/>
  <c r="E14" i="5"/>
  <c r="J14" i="5" s="1"/>
  <c r="E13" i="5"/>
  <c r="J13" i="5" s="1"/>
  <c r="E12" i="5"/>
  <c r="E11" i="5"/>
  <c r="E10" i="5"/>
  <c r="E9" i="5"/>
  <c r="E8" i="5"/>
  <c r="J46" i="5"/>
  <c r="H57" i="5"/>
  <c r="G57" i="5"/>
  <c r="H49" i="5"/>
  <c r="G49" i="5"/>
  <c r="K42" i="5"/>
  <c r="H42" i="5"/>
  <c r="G42" i="5"/>
  <c r="K38" i="5"/>
  <c r="H38" i="5"/>
  <c r="G38" i="5"/>
  <c r="J33" i="5"/>
  <c r="K26" i="5"/>
  <c r="H26" i="5"/>
  <c r="G26" i="5"/>
  <c r="J23" i="5"/>
  <c r="J16" i="5"/>
  <c r="J15" i="5"/>
  <c r="E38" i="5" l="1"/>
  <c r="E49" i="5"/>
  <c r="E57" i="5"/>
  <c r="E26" i="5"/>
  <c r="J29" i="5"/>
  <c r="J38" i="5" s="1"/>
  <c r="J10" i="5"/>
  <c r="J49" i="5"/>
  <c r="K60" i="5"/>
  <c r="J62" i="5" s="1"/>
  <c r="J52" i="5"/>
  <c r="J57" i="5" s="1"/>
  <c r="J42" i="5"/>
  <c r="O42" i="5" s="1"/>
  <c r="K85" i="3"/>
  <c r="B61" i="4"/>
  <c r="B65" i="4"/>
  <c r="K44" i="4"/>
  <c r="E56" i="4"/>
  <c r="J65" i="4"/>
  <c r="K56" i="4"/>
  <c r="K49" i="4"/>
  <c r="K42" i="4"/>
  <c r="K38" i="4"/>
  <c r="K26" i="4"/>
  <c r="H56" i="4"/>
  <c r="G56" i="4"/>
  <c r="H49" i="4"/>
  <c r="G49" i="4"/>
  <c r="H42" i="4"/>
  <c r="G42" i="4"/>
  <c r="H38" i="4"/>
  <c r="G38" i="4"/>
  <c r="H26" i="4"/>
  <c r="G26" i="4"/>
  <c r="J54" i="4"/>
  <c r="J53" i="4"/>
  <c r="J56" i="4" s="1"/>
  <c r="J52" i="4"/>
  <c r="J47" i="4"/>
  <c r="J46" i="4"/>
  <c r="J45" i="4"/>
  <c r="J49" i="4" s="1"/>
  <c r="J41" i="4"/>
  <c r="J42" i="4" s="1"/>
  <c r="J40" i="4"/>
  <c r="E49" i="4"/>
  <c r="E42" i="4"/>
  <c r="K59" i="4"/>
  <c r="J61" i="4" s="1"/>
  <c r="E37" i="4"/>
  <c r="J37" i="4" s="1"/>
  <c r="E36" i="4"/>
  <c r="E35" i="4"/>
  <c r="E34" i="4"/>
  <c r="J34" i="4" s="1"/>
  <c r="E33" i="4"/>
  <c r="J33" i="4"/>
  <c r="E32" i="4"/>
  <c r="J32" i="4" s="1"/>
  <c r="E31" i="4"/>
  <c r="J31" i="4"/>
  <c r="E30" i="4"/>
  <c r="E38" i="4" s="1"/>
  <c r="E29" i="4"/>
  <c r="J29" i="4"/>
  <c r="E24" i="4"/>
  <c r="J24" i="4"/>
  <c r="E23" i="4"/>
  <c r="J23" i="4"/>
  <c r="E22" i="4"/>
  <c r="J22" i="4"/>
  <c r="E21" i="4"/>
  <c r="J21" i="4"/>
  <c r="E20" i="4"/>
  <c r="J20" i="4"/>
  <c r="E19" i="4"/>
  <c r="J19" i="4"/>
  <c r="E18" i="4"/>
  <c r="J18" i="4"/>
  <c r="E17" i="4"/>
  <c r="J17" i="4"/>
  <c r="E16" i="4"/>
  <c r="J16" i="4"/>
  <c r="E15" i="4"/>
  <c r="J15" i="4"/>
  <c r="E14" i="4"/>
  <c r="J14" i="4"/>
  <c r="E13" i="4"/>
  <c r="J13" i="4"/>
  <c r="E12" i="4"/>
  <c r="J12" i="4"/>
  <c r="E11" i="4"/>
  <c r="J11" i="4"/>
  <c r="E10" i="4"/>
  <c r="J10" i="4"/>
  <c r="E9" i="4"/>
  <c r="J9" i="4"/>
  <c r="E8" i="4"/>
  <c r="E26" i="4"/>
  <c r="N56" i="3"/>
  <c r="N48" i="3"/>
  <c r="N39" i="3"/>
  <c r="N37" i="3"/>
  <c r="N33" i="3"/>
  <c r="N23" i="3"/>
  <c r="N19" i="3"/>
  <c r="N15" i="3"/>
  <c r="L59" i="3"/>
  <c r="L58" i="3"/>
  <c r="L57" i="3"/>
  <c r="L56" i="3"/>
  <c r="L51" i="3"/>
  <c r="N51" i="3" s="1"/>
  <c r="L50" i="3"/>
  <c r="N50" i="3" s="1"/>
  <c r="L49" i="3"/>
  <c r="N49" i="3" s="1"/>
  <c r="L48" i="3"/>
  <c r="L45" i="3"/>
  <c r="N45" i="3" s="1"/>
  <c r="L44" i="3"/>
  <c r="N44" i="3" s="1"/>
  <c r="L38" i="3"/>
  <c r="L37" i="3"/>
  <c r="L36" i="3"/>
  <c r="N36" i="3" s="1"/>
  <c r="L35" i="3"/>
  <c r="N35" i="3" s="1"/>
  <c r="L34" i="3"/>
  <c r="N34" i="3" s="1"/>
  <c r="L33" i="3"/>
  <c r="L32" i="3"/>
  <c r="L30" i="3"/>
  <c r="N30" i="3" s="1"/>
  <c r="L29" i="3"/>
  <c r="N29" i="3" s="1"/>
  <c r="L24" i="3"/>
  <c r="N24" i="3" s="1"/>
  <c r="L23" i="3"/>
  <c r="L22" i="3"/>
  <c r="N22" i="3" s="1"/>
  <c r="L21" i="3"/>
  <c r="N21" i="3" s="1"/>
  <c r="L20" i="3"/>
  <c r="N20" i="3" s="1"/>
  <c r="L19" i="3"/>
  <c r="L18" i="3"/>
  <c r="N18" i="3" s="1"/>
  <c r="L17" i="3"/>
  <c r="N17" i="3" s="1"/>
  <c r="L16" i="3"/>
  <c r="N16" i="3" s="1"/>
  <c r="L15" i="3"/>
  <c r="L14" i="3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N85" i="3"/>
  <c r="N71" i="3"/>
  <c r="K27" i="2"/>
  <c r="K37" i="2" s="1"/>
  <c r="Q37" i="2" s="1"/>
  <c r="K28" i="2"/>
  <c r="K30" i="2"/>
  <c r="L30" i="2" s="1"/>
  <c r="T30" i="2" s="1"/>
  <c r="K31" i="2"/>
  <c r="K32" i="2"/>
  <c r="K33" i="2"/>
  <c r="K36" i="2"/>
  <c r="L36" i="2" s="1"/>
  <c r="K42" i="2"/>
  <c r="M24" i="2"/>
  <c r="K58" i="2"/>
  <c r="K57" i="2"/>
  <c r="K56" i="2"/>
  <c r="K55" i="2"/>
  <c r="K54" i="2"/>
  <c r="K49" i="2"/>
  <c r="K48" i="2"/>
  <c r="K47" i="2"/>
  <c r="K46" i="2"/>
  <c r="K51" i="2" s="1"/>
  <c r="Q51" i="2" s="1"/>
  <c r="L23" i="1"/>
  <c r="L54" i="1"/>
  <c r="L53" i="1"/>
  <c r="L56" i="1" s="1"/>
  <c r="L45" i="1"/>
  <c r="L44" i="1"/>
  <c r="L43" i="1"/>
  <c r="L32" i="1"/>
  <c r="L34" i="1" s="1"/>
  <c r="L59" i="1" s="1"/>
  <c r="J61" i="1" s="1"/>
  <c r="L29" i="1"/>
  <c r="M48" i="2"/>
  <c r="M47" i="2"/>
  <c r="M46" i="2"/>
  <c r="M30" i="2"/>
  <c r="M33" i="2"/>
  <c r="M82" i="2"/>
  <c r="M81" i="2"/>
  <c r="G51" i="2"/>
  <c r="E51" i="2"/>
  <c r="G44" i="2"/>
  <c r="E44" i="2"/>
  <c r="I37" i="2"/>
  <c r="G37" i="2"/>
  <c r="E37" i="2"/>
  <c r="T29" i="2"/>
  <c r="M37" i="2"/>
  <c r="L33" i="2"/>
  <c r="T33" i="2"/>
  <c r="K69" i="2"/>
  <c r="L57" i="2"/>
  <c r="L35" i="2"/>
  <c r="T35" i="2"/>
  <c r="L31" i="2"/>
  <c r="T31" i="2" s="1"/>
  <c r="K22" i="2"/>
  <c r="K21" i="2"/>
  <c r="L21" i="2"/>
  <c r="T21" i="2" s="1"/>
  <c r="K20" i="2"/>
  <c r="L20" i="2"/>
  <c r="T20" i="2"/>
  <c r="K19" i="2"/>
  <c r="L19" i="2" s="1"/>
  <c r="T19" i="2" s="1"/>
  <c r="K18" i="2"/>
  <c r="L18" i="2" s="1"/>
  <c r="T18" i="2" s="1"/>
  <c r="K17" i="2"/>
  <c r="L17" i="2" s="1"/>
  <c r="T17" i="2" s="1"/>
  <c r="K16" i="2"/>
  <c r="L16" i="2" s="1"/>
  <c r="T16" i="2" s="1"/>
  <c r="K15" i="2"/>
  <c r="L15" i="2"/>
  <c r="T15" i="2" s="1"/>
  <c r="K14" i="2"/>
  <c r="L14" i="2"/>
  <c r="T14" i="2"/>
  <c r="K13" i="2"/>
  <c r="L13" i="2" s="1"/>
  <c r="T13" i="2" s="1"/>
  <c r="K12" i="2"/>
  <c r="L12" i="2" s="1"/>
  <c r="T12" i="2" s="1"/>
  <c r="K11" i="2"/>
  <c r="L11" i="2"/>
  <c r="T11" i="2" s="1"/>
  <c r="K10" i="2"/>
  <c r="K9" i="2"/>
  <c r="L9" i="2"/>
  <c r="T9" i="2" s="1"/>
  <c r="L34" i="2"/>
  <c r="T34" i="2"/>
  <c r="L32" i="2"/>
  <c r="T32" i="2" s="1"/>
  <c r="L28" i="2"/>
  <c r="T28" i="2"/>
  <c r="L27" i="2"/>
  <c r="T27" i="2" s="1"/>
  <c r="L23" i="2"/>
  <c r="T23" i="2"/>
  <c r="L22" i="2"/>
  <c r="T22" i="2" s="1"/>
  <c r="L10" i="2"/>
  <c r="T10" i="2" s="1"/>
  <c r="J8" i="2"/>
  <c r="K8" i="2" s="1"/>
  <c r="I24" i="2"/>
  <c r="I63" i="2" s="1"/>
  <c r="G24" i="2"/>
  <c r="E24" i="2"/>
  <c r="M51" i="2"/>
  <c r="I51" i="2"/>
  <c r="L55" i="2"/>
  <c r="T55" i="2"/>
  <c r="K81" i="2"/>
  <c r="M80" i="2"/>
  <c r="K80" i="2"/>
  <c r="M79" i="2"/>
  <c r="K79" i="2"/>
  <c r="M78" i="2"/>
  <c r="M77" i="2"/>
  <c r="M76" i="2"/>
  <c r="M75" i="2"/>
  <c r="M74" i="2"/>
  <c r="M73" i="2"/>
  <c r="M72" i="2"/>
  <c r="M60" i="2"/>
  <c r="I60" i="2"/>
  <c r="G60" i="2"/>
  <c r="E60" i="2"/>
  <c r="L59" i="2"/>
  <c r="T59" i="2" s="1"/>
  <c r="L58" i="2"/>
  <c r="T58" i="2"/>
  <c r="L56" i="2"/>
  <c r="T56" i="2" s="1"/>
  <c r="L54" i="2"/>
  <c r="T54" i="2"/>
  <c r="L49" i="2"/>
  <c r="T49" i="2" s="1"/>
  <c r="L48" i="2"/>
  <c r="T48" i="2"/>
  <c r="L47" i="2"/>
  <c r="T47" i="2" s="1"/>
  <c r="I44" i="2"/>
  <c r="K43" i="2"/>
  <c r="L43" i="2" s="1"/>
  <c r="T43" i="2" s="1"/>
  <c r="M65" i="2"/>
  <c r="K65" i="2"/>
  <c r="L46" i="2"/>
  <c r="T46" i="2"/>
  <c r="L42" i="2"/>
  <c r="T42" i="2" s="1"/>
  <c r="K60" i="2"/>
  <c r="Q60" i="2" s="1"/>
  <c r="J29" i="1"/>
  <c r="J77" i="1"/>
  <c r="L76" i="1"/>
  <c r="L75" i="1"/>
  <c r="L74" i="1"/>
  <c r="L73" i="1"/>
  <c r="L72" i="1"/>
  <c r="L71" i="1"/>
  <c r="L70" i="1"/>
  <c r="L69" i="1"/>
  <c r="L68" i="1"/>
  <c r="J55" i="1"/>
  <c r="J54" i="1"/>
  <c r="J53" i="1"/>
  <c r="J52" i="1"/>
  <c r="J50" i="1"/>
  <c r="J56" i="1" s="1"/>
  <c r="P56" i="1" s="1"/>
  <c r="J46" i="1"/>
  <c r="J45" i="1"/>
  <c r="J44" i="1"/>
  <c r="J43" i="1"/>
  <c r="J47" i="1" s="1"/>
  <c r="P47" i="1" s="1"/>
  <c r="J40" i="1"/>
  <c r="J41" i="1" s="1"/>
  <c r="P41" i="1" s="1"/>
  <c r="J39" i="1"/>
  <c r="J33" i="1"/>
  <c r="J32" i="1"/>
  <c r="J31" i="1"/>
  <c r="J34" i="1" s="1"/>
  <c r="P34" i="1" s="1"/>
  <c r="J30" i="1"/>
  <c r="J27" i="1"/>
  <c r="J26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2" i="2"/>
  <c r="P82" i="2"/>
  <c r="N82" i="2"/>
  <c r="G56" i="1"/>
  <c r="L47" i="1"/>
  <c r="H56" i="1"/>
  <c r="H47" i="1"/>
  <c r="G47" i="1"/>
  <c r="H41" i="1"/>
  <c r="G41" i="1"/>
  <c r="H34" i="1"/>
  <c r="H59" i="1" s="1"/>
  <c r="G34" i="1"/>
  <c r="H23" i="1"/>
  <c r="G23" i="1"/>
  <c r="J23" i="1"/>
  <c r="P23" i="1" s="1"/>
  <c r="E23" i="1"/>
  <c r="E34" i="1"/>
  <c r="E41" i="1"/>
  <c r="E47" i="1"/>
  <c r="E56" i="1"/>
  <c r="G59" i="1"/>
  <c r="J62" i="1"/>
  <c r="E63" i="1"/>
  <c r="J75" i="1"/>
  <c r="J76" i="1"/>
  <c r="J8" i="4"/>
  <c r="J26" i="4" s="1"/>
  <c r="J26" i="5" l="1"/>
  <c r="E60" i="5"/>
  <c r="O26" i="4"/>
  <c r="O42" i="4"/>
  <c r="K24" i="2"/>
  <c r="L8" i="2"/>
  <c r="T8" i="2" s="1"/>
  <c r="T61" i="2" s="1"/>
  <c r="E59" i="4"/>
  <c r="J30" i="4"/>
  <c r="J38" i="4" s="1"/>
  <c r="J59" i="4" s="1"/>
  <c r="J66" i="4" s="1"/>
  <c r="K44" i="2"/>
  <c r="Q44" i="2" s="1"/>
  <c r="J59" i="1"/>
  <c r="J63" i="1" s="1"/>
  <c r="J66" i="1" s="1"/>
  <c r="J60" i="5" l="1"/>
  <c r="J67" i="5" s="1"/>
  <c r="F81" i="4"/>
  <c r="O66" i="4"/>
  <c r="F78" i="1"/>
  <c r="J78" i="1" s="1"/>
  <c r="O78" i="1" s="1"/>
  <c r="M78" i="1" s="1"/>
  <c r="M66" i="1"/>
  <c r="Q24" i="2"/>
  <c r="K63" i="2"/>
  <c r="O38" i="4"/>
  <c r="F71" i="5" l="1"/>
  <c r="Q63" i="2"/>
  <c r="K67" i="2"/>
  <c r="K70" i="2" s="1"/>
  <c r="J81" i="4"/>
  <c r="N81" i="4"/>
  <c r="K71" i="5" l="1"/>
  <c r="O71" i="5"/>
  <c r="N70" i="2"/>
  <c r="F83" i="2"/>
  <c r="M83" i="2" l="1"/>
  <c r="K83" i="2"/>
  <c r="P83" i="2" s="1"/>
  <c r="N83" i="2" s="1"/>
</calcChain>
</file>

<file path=xl/sharedStrings.xml><?xml version="1.0" encoding="utf-8"?>
<sst xmlns="http://schemas.openxmlformats.org/spreadsheetml/2006/main" count="606" uniqueCount="188">
  <si>
    <t>Birdham Parish Council</t>
  </si>
  <si>
    <t>Budget</t>
  </si>
  <si>
    <t>Note</t>
  </si>
  <si>
    <t>Revenue Account</t>
  </si>
  <si>
    <t>Administrative Expenses</t>
  </si>
  <si>
    <t>Land Maintenance</t>
  </si>
  <si>
    <t xml:space="preserve">     Repairs &amp; Maintenance</t>
  </si>
  <si>
    <t xml:space="preserve">     Maintenance of Football Pitch</t>
  </si>
  <si>
    <t>Street Lighting</t>
  </si>
  <si>
    <t>General</t>
  </si>
  <si>
    <t>25. Notice Boards - Repairs</t>
  </si>
  <si>
    <t>26. Bins - dogs &amp; litter</t>
  </si>
  <si>
    <t>10. Subscriptions &amp; Memberships</t>
  </si>
  <si>
    <t>11. Charitable Contributions &amp; Donations</t>
  </si>
  <si>
    <t>12. Election Contingency</t>
  </si>
  <si>
    <t>13. Publications</t>
  </si>
  <si>
    <t>14. Parish Newsletter</t>
  </si>
  <si>
    <t>Capital Expenditure total</t>
  </si>
  <si>
    <t>Totals</t>
  </si>
  <si>
    <t>YTD</t>
  </si>
  <si>
    <t>Projection</t>
  </si>
  <si>
    <t>SALC,NALC,NPFA,SALDC,CPRE,SCPFA,Domain Name, Web Host</t>
  </si>
  <si>
    <t>Proposed Budget</t>
  </si>
  <si>
    <t>Subject to agreement from Mrs Geary</t>
  </si>
  <si>
    <t>Band D = £</t>
  </si>
  <si>
    <t>Capital Expenditure</t>
  </si>
  <si>
    <t>15. Grass Cutting</t>
  </si>
  <si>
    <t>16. Hedges and Ditching</t>
  </si>
  <si>
    <t>17. Playing Field &amp; Play Area</t>
  </si>
  <si>
    <t>18. Churchyard Maint - Grant</t>
  </si>
  <si>
    <t>19. Village Green &amp; Pond Maintenance</t>
  </si>
  <si>
    <t>20. Collection of Litter</t>
  </si>
  <si>
    <t>21. Energy</t>
  </si>
  <si>
    <t>22. Repairs &amp; Maintenance</t>
  </si>
  <si>
    <t>24. Bus Shelters - Clearance</t>
  </si>
  <si>
    <t>29. Youth matters</t>
  </si>
  <si>
    <t>31. Playing Field extension costs</t>
  </si>
  <si>
    <t>32. Estimated Gross Expenditure</t>
  </si>
  <si>
    <t>33. Less Estimated Income</t>
  </si>
  <si>
    <t>35. Net Expenditure</t>
  </si>
  <si>
    <t>Precept 2012/2013 (base)</t>
  </si>
  <si>
    <t>Precept 2005/2006 (base)</t>
  </si>
  <si>
    <t>Precept 2006/2007 (base)</t>
  </si>
  <si>
    <t>Precept 2007/2008 (base)</t>
  </si>
  <si>
    <t>Precept 2008/2009 (base)</t>
  </si>
  <si>
    <t>Precept 2009/2010 (base)</t>
  </si>
  <si>
    <t>Precept 2010/2011 (base)</t>
  </si>
  <si>
    <t>Precept 2011/2012 (base)</t>
  </si>
  <si>
    <t>28. Fencing of Adams Bequest</t>
  </si>
  <si>
    <t>30. Neighbourhood Plan contingency</t>
  </si>
  <si>
    <t>1.   Clerk's Salary</t>
  </si>
  <si>
    <t>2.   Clerk's Expenses (Office,Training,Travel)</t>
  </si>
  <si>
    <t>3.   Audit Fees</t>
  </si>
  <si>
    <t>4.   Insurance</t>
  </si>
  <si>
    <t>5.   Loan Repayment</t>
  </si>
  <si>
    <t>6.   Hire of Hall for Council Meetings</t>
  </si>
  <si>
    <t>7.   Chairman's Discretionary Fund</t>
  </si>
  <si>
    <t>8.   Training for Councillors</t>
  </si>
  <si>
    <t>9.   Councillors' Travel Expenses</t>
  </si>
  <si>
    <t xml:space="preserve">      Home/Office Allowance</t>
  </si>
  <si>
    <t>34a.From Reserves</t>
  </si>
  <si>
    <t>34. Brought Fwd</t>
  </si>
  <si>
    <t>Notes:</t>
  </si>
  <si>
    <t>Includes £150 for internal audit</t>
  </si>
  <si>
    <t>Includes annual charge to inspect the playgound</t>
  </si>
  <si>
    <t>The annual repayment on the loan for the Village Hall of £255,000 at 4.55% over 25 years is</t>
  </si>
  <si>
    <t>For training new and future Councillors</t>
  </si>
  <si>
    <t>In case an election is necessary or to fill a vacancy</t>
  </si>
  <si>
    <t>Publications for guidance</t>
  </si>
  <si>
    <t>The aim is to issue this 4 times a year in June, September, December and March</t>
  </si>
  <si>
    <t>Estimate because weather dependent</t>
  </si>
  <si>
    <t>Once a year.</t>
  </si>
  <si>
    <t>Including repairs to playground fences and gates</t>
  </si>
  <si>
    <t>Honorarium to litter picker</t>
  </si>
  <si>
    <t>Total of Revenue and Capital expenditure</t>
  </si>
  <si>
    <t>The amount we expect get in by the end of this year from hire of the field etc.</t>
  </si>
  <si>
    <t>The Estimated Gross Expenditure less the Income and the Carry Forward. This is what we expect to spend.</t>
  </si>
  <si>
    <t xml:space="preserve">Can be £6.44 per elector (Section 137) </t>
  </si>
  <si>
    <t>For the 21 lights owned by the Council (not Birdham Straight), under PFI.</t>
  </si>
  <si>
    <t>Carried Fwd</t>
  </si>
  <si>
    <t>Includes 9.5% increase in elec costs</t>
  </si>
  <si>
    <t>Plan for 2013/14</t>
  </si>
  <si>
    <t>Electricity costs will continue to rise. We have allowed 9.8%</t>
  </si>
  <si>
    <t>Precept 2013/2014 (base)</t>
  </si>
  <si>
    <t>How much we expect to have in hand from this year's budget and Brought Forward</t>
  </si>
  <si>
    <t>includes 3.8% increase in maint costs</t>
  </si>
  <si>
    <t>CDC Grant</t>
  </si>
  <si>
    <t xml:space="preserve">Budget Minus Grant </t>
  </si>
  <si>
    <t>2014/15</t>
  </si>
  <si>
    <t>32. Digital Planning</t>
  </si>
  <si>
    <t>23a</t>
  </si>
  <si>
    <t>To be vired to training budget</t>
  </si>
  <si>
    <t>27. Website Maintenance &amp; Hosting</t>
  </si>
  <si>
    <t>Balance of Legal Fees</t>
  </si>
  <si>
    <t>Precept 2014/2015 (base)</t>
  </si>
  <si>
    <t>To be vired to general reserve</t>
  </si>
  <si>
    <t>Includes SALC and NALC which are pro rata of electors.</t>
  </si>
  <si>
    <t>Increase</t>
  </si>
  <si>
    <t>Precept Calculation 2015/2016</t>
  </si>
  <si>
    <t>2015/16</t>
  </si>
  <si>
    <t>Inc of 2.2% pay award</t>
  </si>
  <si>
    <t>23. Bus Shelters - Repairs/renew</t>
  </si>
  <si>
    <t>Precept 2015/2016 (base)</t>
  </si>
  <si>
    <t>We are governed by NJC rules which have increased salaries by 2.2% backdated to 1st January 2015 (the Clerk has elected not to take the back pay)</t>
  </si>
  <si>
    <t>Reduction in 'phone costs</t>
  </si>
  <si>
    <t>£325.00 To be added to election budget</t>
  </si>
  <si>
    <t>Possibly set against S106 monies!!</t>
  </si>
  <si>
    <t>Ink/Toner for large format printers</t>
  </si>
  <si>
    <t>Grant as yet to be agreed by CDC Cabinet</t>
  </si>
  <si>
    <t>Request for bus stop at the entrance to the Marina on the north bound side</t>
  </si>
  <si>
    <t>The grant awarded by CDC in mitigation of the Council Tax reduction scheme and loss of taxbase (As yet the amount is unknown).</t>
  </si>
  <si>
    <t>%                                   or</t>
  </si>
  <si>
    <t>(as at 20th Nov 14 is now £437.16)</t>
  </si>
  <si>
    <t>Repairs to play equipment etc.</t>
  </si>
  <si>
    <t>£17,182.08 per year paid in two instalments in August and February. Started in August 2005</t>
  </si>
  <si>
    <t>To be vired to travel budget</t>
  </si>
  <si>
    <t>Desilting of pond etc to be carried fwd to 2015/16</t>
  </si>
  <si>
    <t>The Precept is the Net Expenditure divided by the Taxation Base (what £1 of tax produces in Birdham). Tax Base is as proposed to Cabinet</t>
  </si>
  <si>
    <t>increase</t>
  </si>
  <si>
    <t xml:space="preserve">Percentage </t>
  </si>
  <si>
    <t>difference</t>
  </si>
  <si>
    <t xml:space="preserve"> </t>
  </si>
  <si>
    <t>28. Fencing of Adams Bequest/Village Pond Extention</t>
  </si>
  <si>
    <t>Precept Calculation 2016/2017</t>
  </si>
  <si>
    <t>2016/17</t>
  </si>
  <si>
    <t>Inc of hours worked from 12 to 15 per week</t>
  </si>
  <si>
    <t>Precept 2016/2017 (base)</t>
  </si>
  <si>
    <t xml:space="preserve">We are governed by NJC rules </t>
  </si>
  <si>
    <t>%</t>
  </si>
  <si>
    <t>19A Village Pond Improvement Fund</t>
  </si>
  <si>
    <t>15  Community Resiliance</t>
  </si>
  <si>
    <t>19B Culvert Maintenance</t>
  </si>
  <si>
    <t>Precept Calculation 2017/2018</t>
  </si>
  <si>
    <t>Proposed</t>
  </si>
  <si>
    <t xml:space="preserve"> Budget</t>
  </si>
  <si>
    <t>2017/18</t>
  </si>
  <si>
    <t>back pay plus Green Book increase</t>
  </si>
  <si>
    <t>NALC/SSALC</t>
  </si>
  <si>
    <t>£400 viared from Insurance</t>
  </si>
  <si>
    <t>11a Manhood Pen Partnership</t>
  </si>
  <si>
    <t>Ring Fenced Funding</t>
  </si>
  <si>
    <t>Catchement pond improvement fund</t>
  </si>
  <si>
    <t>Budget Minus Grant</t>
  </si>
  <si>
    <t>Precept 2017/2018 (base)</t>
  </si>
  <si>
    <t>saving</t>
  </si>
  <si>
    <t>2018-2019</t>
  </si>
  <si>
    <t>11a</t>
  </si>
  <si>
    <t xml:space="preserve"> Clerk's Salary</t>
  </si>
  <si>
    <t xml:space="preserve"> Clerk's Expenses (Office,Training,Travel)</t>
  </si>
  <si>
    <t>Audit Fees</t>
  </si>
  <si>
    <t>Loan Repayment</t>
  </si>
  <si>
    <t>Hire of Hall for Council Meetings</t>
  </si>
  <si>
    <t>Chairman's Discretionary Fund</t>
  </si>
  <si>
    <t>Subscriptions &amp; Memberships</t>
  </si>
  <si>
    <t>Manhood Pen Partnership</t>
  </si>
  <si>
    <t>Publications</t>
  </si>
  <si>
    <t>Community Resiliance</t>
  </si>
  <si>
    <t xml:space="preserve">  +    Home/Office Allowance</t>
  </si>
  <si>
    <t>21A</t>
  </si>
  <si>
    <t>21B</t>
  </si>
  <si>
    <t>Grass Cutting</t>
  </si>
  <si>
    <t>Hedges and Ditching</t>
  </si>
  <si>
    <t>Playing Field &amp; Play Area Repairs &amp; Maintenance</t>
  </si>
  <si>
    <t>Maintenance of Football Pitch</t>
  </si>
  <si>
    <t>Churchyard Maint - Grant</t>
  </si>
  <si>
    <t>Village Green &amp; Pond Maintenance</t>
  </si>
  <si>
    <t>Collection of Litter</t>
  </si>
  <si>
    <t>Energy</t>
  </si>
  <si>
    <t>Repairs &amp; Maintenance</t>
  </si>
  <si>
    <t>Bus Shelters - Repairs/renew</t>
  </si>
  <si>
    <t>Bus Shelters - Clearance</t>
  </si>
  <si>
    <t>Notice Boards - Repairs</t>
  </si>
  <si>
    <t xml:space="preserve"> Bins - dogs &amp; litter</t>
  </si>
  <si>
    <t>Charitable Contributions &amp; Donations</t>
  </si>
  <si>
    <t>Training for Councillors</t>
  </si>
  <si>
    <t>Insurance</t>
  </si>
  <si>
    <t>Councillors' Travel Expenses</t>
  </si>
  <si>
    <t>Election Contingency</t>
  </si>
  <si>
    <t>Parish Newsletter</t>
  </si>
  <si>
    <t>Village Pond Improvement Fund</t>
  </si>
  <si>
    <t>Culvert Maintenance</t>
  </si>
  <si>
    <t>Precept 2018/2019(base)</t>
  </si>
  <si>
    <t>Assuming 25% in Grant and tax base remain the same</t>
  </si>
  <si>
    <t>Precept 2019/2020</t>
  </si>
  <si>
    <t>2019-2020</t>
  </si>
  <si>
    <t>Green Book increase</t>
  </si>
  <si>
    <t>Marina entrance bench</t>
  </si>
  <si>
    <t>Precept Calculation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</si>
</sst>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.00"/>
    <numFmt numFmtId="165" formatCode="0.0%"/>
    <numFmt numFmtId="166" formatCode="[$-809]General"/>
    <numFmt numFmtId="167" formatCode="[$-809]0%"/>
    <numFmt numFmtId="168" formatCode="[$-809]#,##0"/>
    <numFmt numFmtId="169" formatCode="[$-809]0.00"/>
    <numFmt numFmtId="170" formatCode="#,##0.00_ ;\-#,##0.00\ 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6"/>
      <name val="Arial"/>
      <family val="2"/>
    </font>
    <font>
      <b/>
      <sz val="12"/>
      <color theme="9"/>
      <name val="Arial"/>
      <family val="2"/>
    </font>
    <font>
      <b/>
      <sz val="12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theme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b/>
      <sz val="10"/>
      <color theme="1"/>
      <name val="Arial"/>
      <family val="2"/>
    </font>
    <font>
      <sz val="10"/>
      <color rgb="FF808080"/>
      <name val="Arial"/>
      <family val="2"/>
    </font>
    <font>
      <i/>
      <sz val="10"/>
      <color rgb="FF80808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1"/>
    </font>
    <font>
      <b/>
      <sz val="1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9"/>
      <color theme="0" tint="-0.14999847407452621"/>
      <name val="Arial"/>
      <family val="2"/>
    </font>
    <font>
      <b/>
      <i/>
      <sz val="11"/>
      <color theme="0" tint="-0.34998626667073579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Arial1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i/>
      <sz val="12"/>
      <color rgb="FF80808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1"/>
      <name val="Arial1"/>
    </font>
    <font>
      <sz val="11"/>
      <color theme="0" tint="-0.34998626667073579"/>
      <name val="Arial"/>
      <family val="2"/>
    </font>
    <font>
      <sz val="12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1"/>
      <color theme="0" tint="-0.34998626667073579"/>
      <name val="Arial1"/>
    </font>
    <font>
      <sz val="12"/>
      <color theme="0" tint="-0.34998626667073579"/>
      <name val="Arial"/>
      <family val="2"/>
    </font>
    <font>
      <b/>
      <i/>
      <sz val="12"/>
      <name val="Calibri"/>
      <family val="2"/>
      <scheme val="minor"/>
    </font>
    <font>
      <b/>
      <sz val="11"/>
      <name val="Arial1"/>
    </font>
    <font>
      <i/>
      <sz val="11"/>
      <color theme="0" tint="-0.3499862666707357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1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166" fontId="37" fillId="0" borderId="0"/>
    <xf numFmtId="167" fontId="37" fillId="0" borderId="0"/>
    <xf numFmtId="0" fontId="82" fillId="13" borderId="0" applyNumberFormat="0" applyBorder="0" applyAlignment="0" applyProtection="0"/>
  </cellStyleXfs>
  <cellXfs count="470">
    <xf numFmtId="0" fontId="0" fillId="0" borderId="0" xfId="0"/>
    <xf numFmtId="0" fontId="5" fillId="0" borderId="0" xfId="0" applyFont="1"/>
    <xf numFmtId="3" fontId="0" fillId="0" borderId="0" xfId="0" applyNumberFormat="1"/>
    <xf numFmtId="0" fontId="6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6" fillId="0" borderId="0" xfId="0" applyNumberFormat="1" applyFont="1"/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9" fontId="10" fillId="0" borderId="0" xfId="1" applyFont="1"/>
    <xf numFmtId="0" fontId="10" fillId="0" borderId="0" xfId="0" applyFont="1"/>
    <xf numFmtId="9" fontId="11" fillId="0" borderId="0" xfId="1" applyFont="1"/>
    <xf numFmtId="0" fontId="11" fillId="0" borderId="0" xfId="0" applyFont="1"/>
    <xf numFmtId="9" fontId="12" fillId="0" borderId="0" xfId="1" applyFont="1"/>
    <xf numFmtId="0" fontId="12" fillId="0" borderId="0" xfId="0" applyFont="1"/>
    <xf numFmtId="0" fontId="0" fillId="3" borderId="0" xfId="0" applyFill="1"/>
    <xf numFmtId="0" fontId="13" fillId="0" borderId="0" xfId="0" applyFont="1"/>
    <xf numFmtId="2" fontId="13" fillId="0" borderId="0" xfId="0" applyNumberFormat="1" applyFont="1"/>
    <xf numFmtId="2" fontId="13" fillId="0" borderId="0" xfId="0" applyNumberFormat="1" applyFont="1" applyAlignment="1">
      <alignment horizontal="right"/>
    </xf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2" fontId="15" fillId="0" borderId="0" xfId="0" applyNumberFormat="1" applyFont="1"/>
    <xf numFmtId="0" fontId="15" fillId="0" borderId="0" xfId="0" applyFont="1"/>
    <xf numFmtId="2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16" fillId="0" borderId="0" xfId="0" applyNumberFormat="1" applyFont="1"/>
    <xf numFmtId="2" fontId="0" fillId="4" borderId="0" xfId="0" applyNumberForma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65" fontId="16" fillId="2" borderId="0" xfId="1" applyNumberFormat="1" applyFont="1" applyFill="1" applyAlignment="1">
      <alignment horizontal="center"/>
    </xf>
    <xf numFmtId="164" fontId="5" fillId="0" borderId="0" xfId="0" applyNumberFormat="1" applyFont="1" applyAlignment="1">
      <alignment horizontal="right"/>
    </xf>
    <xf numFmtId="0" fontId="18" fillId="0" borderId="0" xfId="0" applyFont="1"/>
    <xf numFmtId="2" fontId="19" fillId="0" borderId="0" xfId="0" applyNumberFormat="1" applyFont="1"/>
    <xf numFmtId="0" fontId="19" fillId="0" borderId="0" xfId="0" applyFont="1"/>
    <xf numFmtId="2" fontId="19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center"/>
    </xf>
    <xf numFmtId="9" fontId="20" fillId="0" borderId="0" xfId="1" applyFont="1"/>
    <xf numFmtId="0" fontId="20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9" fontId="21" fillId="0" borderId="0" xfId="1" applyFont="1"/>
    <xf numFmtId="0" fontId="21" fillId="0" borderId="0" xfId="0" applyFont="1"/>
    <xf numFmtId="2" fontId="16" fillId="4" borderId="0" xfId="0" applyNumberFormat="1" applyFont="1" applyFill="1"/>
    <xf numFmtId="2" fontId="0" fillId="3" borderId="0" xfId="0" applyNumberFormat="1" applyFill="1"/>
    <xf numFmtId="165" fontId="22" fillId="2" borderId="0" xfId="1" applyNumberFormat="1" applyFont="1" applyFill="1" applyAlignment="1">
      <alignment horizontal="center"/>
    </xf>
    <xf numFmtId="165" fontId="16" fillId="3" borderId="0" xfId="1" applyNumberFormat="1" applyFont="1" applyFill="1" applyAlignment="1">
      <alignment horizontal="center"/>
    </xf>
    <xf numFmtId="165" fontId="22" fillId="3" borderId="0" xfId="1" applyNumberFormat="1" applyFont="1" applyFill="1" applyAlignment="1">
      <alignment horizontal="center"/>
    </xf>
    <xf numFmtId="165" fontId="16" fillId="5" borderId="0" xfId="1" applyNumberFormat="1" applyFont="1" applyFill="1" applyAlignment="1">
      <alignment horizontal="center"/>
    </xf>
    <xf numFmtId="165" fontId="15" fillId="3" borderId="0" xfId="1" applyNumberFormat="1" applyFont="1" applyFill="1" applyAlignment="1">
      <alignment horizontal="center"/>
    </xf>
    <xf numFmtId="0" fontId="0" fillId="6" borderId="0" xfId="0" applyFill="1"/>
    <xf numFmtId="0" fontId="15" fillId="6" borderId="0" xfId="0" applyFont="1" applyFill="1"/>
    <xf numFmtId="2" fontId="16" fillId="6" borderId="0" xfId="0" applyNumberFormat="1" applyFont="1" applyFill="1" applyAlignment="1">
      <alignment horizontal="right"/>
    </xf>
    <xf numFmtId="165" fontId="16" fillId="6" borderId="0" xfId="1" applyNumberFormat="1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6" fillId="6" borderId="0" xfId="0" applyFont="1" applyFill="1"/>
    <xf numFmtId="0" fontId="7" fillId="6" borderId="0" xfId="0" applyFont="1" applyFill="1"/>
    <xf numFmtId="9" fontId="18" fillId="0" borderId="0" xfId="1" applyFont="1"/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13" fillId="6" borderId="0" xfId="0" applyFont="1" applyFill="1"/>
    <xf numFmtId="2" fontId="0" fillId="6" borderId="0" xfId="0" applyNumberFormat="1" applyFill="1" applyAlignment="1">
      <alignment horizontal="right"/>
    </xf>
    <xf numFmtId="2" fontId="6" fillId="6" borderId="0" xfId="0" applyNumberFormat="1" applyFont="1" applyFill="1" applyAlignment="1">
      <alignment horizontal="left"/>
    </xf>
    <xf numFmtId="9" fontId="23" fillId="0" borderId="0" xfId="1" applyFont="1"/>
    <xf numFmtId="0" fontId="23" fillId="0" borderId="0" xfId="0" applyFont="1"/>
    <xf numFmtId="0" fontId="24" fillId="0" borderId="0" xfId="0" applyFont="1"/>
    <xf numFmtId="2" fontId="24" fillId="0" borderId="0" xfId="0" applyNumberFormat="1" applyFont="1"/>
    <xf numFmtId="2" fontId="24" fillId="0" borderId="0" xfId="0" applyNumberFormat="1" applyFont="1" applyAlignment="1">
      <alignment horizontal="center"/>
    </xf>
    <xf numFmtId="9" fontId="23" fillId="0" borderId="0" xfId="1" applyFont="1" applyAlignment="1">
      <alignment vertical="center"/>
    </xf>
    <xf numFmtId="2" fontId="24" fillId="6" borderId="0" xfId="0" applyNumberFormat="1" applyFont="1" applyFill="1"/>
    <xf numFmtId="0" fontId="6" fillId="4" borderId="0" xfId="0" applyFont="1" applyFill="1"/>
    <xf numFmtId="0" fontId="0" fillId="4" borderId="0" xfId="0" applyFill="1"/>
    <xf numFmtId="3" fontId="0" fillId="4" borderId="0" xfId="0" applyNumberFormat="1" applyFill="1"/>
    <xf numFmtId="0" fontId="15" fillId="4" borderId="0" xfId="0" applyFont="1" applyFill="1"/>
    <xf numFmtId="2" fontId="1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27" fillId="0" borderId="0" xfId="0" applyFont="1"/>
    <xf numFmtId="2" fontId="25" fillId="4" borderId="0" xfId="0" applyNumberFormat="1" applyFont="1" applyFill="1"/>
    <xf numFmtId="2" fontId="25" fillId="0" borderId="0" xfId="0" applyNumberFormat="1" applyFont="1"/>
    <xf numFmtId="2" fontId="25" fillId="6" borderId="0" xfId="0" applyNumberFormat="1" applyFont="1" applyFill="1"/>
    <xf numFmtId="2" fontId="28" fillId="0" borderId="0" xfId="0" applyNumberFormat="1" applyFont="1" applyAlignment="1">
      <alignment vertical="center"/>
    </xf>
    <xf numFmtId="0" fontId="29" fillId="0" borderId="0" xfId="0" applyFont="1"/>
    <xf numFmtId="2" fontId="7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2" fontId="30" fillId="4" borderId="0" xfId="0" applyNumberFormat="1" applyFont="1" applyFill="1" applyAlignment="1">
      <alignment horizontal="right"/>
    </xf>
    <xf numFmtId="2" fontId="30" fillId="0" borderId="0" xfId="0" applyNumberFormat="1" applyFont="1" applyAlignment="1">
      <alignment horizontal="right"/>
    </xf>
    <xf numFmtId="2" fontId="30" fillId="6" borderId="0" xfId="0" applyNumberFormat="1" applyFont="1" applyFill="1" applyAlignment="1">
      <alignment horizontal="right"/>
    </xf>
    <xf numFmtId="2" fontId="29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 vertical="center"/>
    </xf>
    <xf numFmtId="2" fontId="7" fillId="0" borderId="0" xfId="0" applyNumberFormat="1" applyFont="1"/>
    <xf numFmtId="2" fontId="31" fillId="0" borderId="0" xfId="0" applyNumberFormat="1" applyFont="1"/>
    <xf numFmtId="0" fontId="33" fillId="0" borderId="0" xfId="0" applyFont="1"/>
    <xf numFmtId="0" fontId="18" fillId="0" borderId="0" xfId="0" applyFont="1" applyAlignment="1">
      <alignment horizontal="right" vertical="top"/>
    </xf>
    <xf numFmtId="0" fontId="33" fillId="3" borderId="0" xfId="0" applyFont="1" applyFill="1"/>
    <xf numFmtId="2" fontId="20" fillId="4" borderId="0" xfId="0" applyNumberFormat="1" applyFont="1" applyFill="1"/>
    <xf numFmtId="2" fontId="33" fillId="0" borderId="0" xfId="0" applyNumberFormat="1" applyFont="1"/>
    <xf numFmtId="2" fontId="20" fillId="6" borderId="0" xfId="0" applyNumberFormat="1" applyFont="1" applyFill="1"/>
    <xf numFmtId="0" fontId="18" fillId="0" borderId="0" xfId="0" applyFont="1" applyAlignment="1">
      <alignment horizontal="right"/>
    </xf>
    <xf numFmtId="2" fontId="33" fillId="0" borderId="0" xfId="0" applyNumberFormat="1" applyFont="1" applyAlignment="1">
      <alignment horizontal="right"/>
    </xf>
    <xf numFmtId="2" fontId="34" fillId="6" borderId="0" xfId="0" applyNumberFormat="1" applyFont="1" applyFill="1"/>
    <xf numFmtId="2" fontId="33" fillId="3" borderId="0" xfId="0" applyNumberFormat="1" applyFont="1" applyFill="1"/>
    <xf numFmtId="2" fontId="18" fillId="0" borderId="0" xfId="0" applyNumberFormat="1" applyFont="1" applyAlignment="1">
      <alignment vertical="center"/>
    </xf>
    <xf numFmtId="2" fontId="35" fillId="0" borderId="0" xfId="0" applyNumberFormat="1" applyFont="1" applyAlignment="1">
      <alignment horizontal="right"/>
    </xf>
    <xf numFmtId="2" fontId="24" fillId="4" borderId="0" xfId="0" applyNumberFormat="1" applyFont="1" applyFill="1" applyAlignment="1">
      <alignment horizontal="center"/>
    </xf>
    <xf numFmtId="2" fontId="24" fillId="6" borderId="0" xfId="0" applyNumberFormat="1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2" fontId="24" fillId="3" borderId="0" xfId="0" applyNumberFormat="1" applyFont="1" applyFill="1" applyAlignment="1">
      <alignment horizontal="center"/>
    </xf>
    <xf numFmtId="2" fontId="0" fillId="6" borderId="0" xfId="0" applyNumberFormat="1" applyFill="1"/>
    <xf numFmtId="2" fontId="16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2" fontId="31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9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6" fillId="7" borderId="0" xfId="0" applyFont="1" applyFill="1"/>
    <xf numFmtId="0" fontId="0" fillId="7" borderId="0" xfId="0" applyFill="1"/>
    <xf numFmtId="2" fontId="24" fillId="7" borderId="0" xfId="0" applyNumberFormat="1" applyFont="1" applyFill="1"/>
    <xf numFmtId="0" fontId="13" fillId="7" borderId="0" xfId="0" applyFont="1" applyFill="1"/>
    <xf numFmtId="2" fontId="30" fillId="7" borderId="0" xfId="0" applyNumberFormat="1" applyFont="1" applyFill="1" applyAlignment="1">
      <alignment horizontal="right"/>
    </xf>
    <xf numFmtId="2" fontId="0" fillId="7" borderId="0" xfId="0" applyNumberFormat="1" applyFill="1" applyAlignment="1">
      <alignment horizontal="right"/>
    </xf>
    <xf numFmtId="165" fontId="16" fillId="7" borderId="0" xfId="1" applyNumberFormat="1" applyFont="1" applyFill="1" applyAlignment="1">
      <alignment horizontal="center"/>
    </xf>
    <xf numFmtId="2" fontId="33" fillId="7" borderId="0" xfId="0" applyNumberFormat="1" applyFont="1" applyFill="1"/>
    <xf numFmtId="2" fontId="24" fillId="7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7" fillId="7" borderId="0" xfId="0" applyFont="1" applyFill="1"/>
    <xf numFmtId="2" fontId="0" fillId="7" borderId="0" xfId="0" applyNumberFormat="1" applyFill="1"/>
    <xf numFmtId="0" fontId="6" fillId="3" borderId="0" xfId="0" applyFont="1" applyFill="1"/>
    <xf numFmtId="165" fontId="22" fillId="5" borderId="0" xfId="1" applyNumberFormat="1" applyFont="1" applyFill="1" applyAlignment="1">
      <alignment horizontal="center"/>
    </xf>
    <xf numFmtId="165" fontId="18" fillId="5" borderId="0" xfId="1" applyNumberFormat="1" applyFont="1" applyFill="1" applyAlignment="1">
      <alignment horizontal="center" vertical="center"/>
    </xf>
    <xf numFmtId="165" fontId="22" fillId="5" borderId="0" xfId="1" applyNumberFormat="1" applyFont="1" applyFill="1" applyAlignment="1">
      <alignment horizontal="center" vertical="center"/>
    </xf>
    <xf numFmtId="165" fontId="23" fillId="5" borderId="0" xfId="1" applyNumberFormat="1" applyFont="1" applyFill="1" applyAlignment="1">
      <alignment horizontal="center" vertical="center"/>
    </xf>
    <xf numFmtId="0" fontId="6" fillId="5" borderId="0" xfId="0" applyFont="1" applyFill="1"/>
    <xf numFmtId="2" fontId="25" fillId="3" borderId="0" xfId="0" applyNumberFormat="1" applyFont="1" applyFill="1"/>
    <xf numFmtId="0" fontId="15" fillId="3" borderId="0" xfId="0" applyFont="1" applyFill="1"/>
    <xf numFmtId="2" fontId="30" fillId="3" borderId="0" xfId="0" applyNumberFormat="1" applyFont="1" applyFill="1" applyAlignment="1">
      <alignment horizontal="right"/>
    </xf>
    <xf numFmtId="2" fontId="1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center"/>
    </xf>
    <xf numFmtId="0" fontId="7" fillId="3" borderId="0" xfId="0" applyFont="1" applyFill="1"/>
    <xf numFmtId="2" fontId="24" fillId="3" borderId="0" xfId="0" applyNumberFormat="1" applyFont="1" applyFill="1"/>
    <xf numFmtId="0" fontId="13" fillId="3" borderId="0" xfId="0" applyFont="1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center"/>
    </xf>
    <xf numFmtId="2" fontId="6" fillId="3" borderId="0" xfId="0" applyNumberFormat="1" applyFont="1" applyFill="1"/>
    <xf numFmtId="166" fontId="38" fillId="0" borderId="0" xfId="2" applyFont="1"/>
    <xf numFmtId="166" fontId="37" fillId="0" borderId="0" xfId="2"/>
    <xf numFmtId="166" fontId="39" fillId="0" borderId="0" xfId="2" applyFont="1"/>
    <xf numFmtId="166" fontId="39" fillId="0" borderId="0" xfId="2" applyFont="1" applyAlignment="1">
      <alignment horizontal="center"/>
    </xf>
    <xf numFmtId="166" fontId="40" fillId="0" borderId="0" xfId="2" applyFont="1"/>
    <xf numFmtId="166" fontId="37" fillId="8" borderId="0" xfId="2" applyFill="1"/>
    <xf numFmtId="166" fontId="36" fillId="0" borderId="0" xfId="2" applyFont="1"/>
    <xf numFmtId="167" fontId="41" fillId="0" borderId="0" xfId="3" applyFont="1" applyFill="1" applyBorder="1" applyAlignment="1" applyProtection="1">
      <alignment vertical="center"/>
    </xf>
    <xf numFmtId="169" fontId="37" fillId="0" borderId="0" xfId="2" applyNumberFormat="1" applyAlignment="1">
      <alignment horizontal="right"/>
    </xf>
    <xf numFmtId="166" fontId="42" fillId="8" borderId="0" xfId="2" applyFont="1" applyFill="1"/>
    <xf numFmtId="169" fontId="36" fillId="8" borderId="0" xfId="2" applyNumberFormat="1" applyFont="1" applyFill="1" applyAlignment="1">
      <alignment horizontal="left"/>
    </xf>
    <xf numFmtId="169" fontId="36" fillId="0" borderId="0" xfId="2" applyNumberFormat="1" applyFont="1" applyAlignment="1">
      <alignment horizontal="left"/>
    </xf>
    <xf numFmtId="167" fontId="43" fillId="0" borderId="0" xfId="3" applyFont="1" applyFill="1" applyBorder="1" applyAlignment="1" applyProtection="1">
      <alignment vertical="center"/>
    </xf>
    <xf numFmtId="167" fontId="41" fillId="0" borderId="0" xfId="3" applyFont="1" applyFill="1" applyBorder="1" applyAlignment="1" applyProtection="1"/>
    <xf numFmtId="166" fontId="41" fillId="0" borderId="0" xfId="2" applyFont="1"/>
    <xf numFmtId="166" fontId="5" fillId="0" borderId="0" xfId="2" applyFont="1" applyAlignment="1">
      <alignment horizontal="center"/>
    </xf>
    <xf numFmtId="0" fontId="5" fillId="3" borderId="0" xfId="0" applyFont="1" applyFill="1" applyAlignment="1">
      <alignment horizontal="center"/>
    </xf>
    <xf numFmtId="166" fontId="45" fillId="0" borderId="0" xfId="2" applyFont="1" applyAlignment="1">
      <alignment horizontal="center"/>
    </xf>
    <xf numFmtId="166" fontId="24" fillId="0" borderId="0" xfId="2" applyFont="1" applyAlignment="1">
      <alignment horizontal="center"/>
    </xf>
    <xf numFmtId="166" fontId="44" fillId="0" borderId="0" xfId="2" applyFont="1" applyAlignment="1">
      <alignment horizontal="center"/>
    </xf>
    <xf numFmtId="166" fontId="44" fillId="0" borderId="0" xfId="2" applyFont="1" applyAlignment="1">
      <alignment horizontal="center" vertical="top"/>
    </xf>
    <xf numFmtId="169" fontId="46" fillId="8" borderId="0" xfId="2" applyNumberFormat="1" applyFont="1" applyFill="1" applyAlignment="1">
      <alignment horizontal="center"/>
    </xf>
    <xf numFmtId="169" fontId="47" fillId="8" borderId="0" xfId="2" applyNumberFormat="1" applyFont="1" applyFill="1" applyAlignment="1">
      <alignment horizontal="right"/>
    </xf>
    <xf numFmtId="169" fontId="46" fillId="0" borderId="0" xfId="2" applyNumberFormat="1" applyFont="1" applyAlignment="1">
      <alignment horizontal="center"/>
    </xf>
    <xf numFmtId="169" fontId="47" fillId="0" borderId="0" xfId="2" applyNumberFormat="1" applyFont="1" applyAlignment="1">
      <alignment horizontal="right"/>
    </xf>
    <xf numFmtId="169" fontId="49" fillId="8" borderId="0" xfId="2" applyNumberFormat="1" applyFont="1" applyFill="1" applyAlignment="1">
      <alignment horizontal="center"/>
    </xf>
    <xf numFmtId="166" fontId="44" fillId="0" borderId="0" xfId="2" applyFont="1" applyAlignment="1">
      <alignment vertical="center"/>
    </xf>
    <xf numFmtId="169" fontId="46" fillId="0" borderId="0" xfId="2" applyNumberFormat="1" applyFont="1" applyAlignment="1">
      <alignment horizontal="center" vertical="center"/>
    </xf>
    <xf numFmtId="166" fontId="47" fillId="0" borderId="0" xfId="2" applyFont="1" applyAlignment="1">
      <alignment vertical="center"/>
    </xf>
    <xf numFmtId="169" fontId="48" fillId="0" borderId="0" xfId="2" applyNumberFormat="1" applyFont="1" applyAlignment="1">
      <alignment horizontal="right" vertical="center"/>
    </xf>
    <xf numFmtId="169" fontId="44" fillId="0" borderId="0" xfId="2" applyNumberFormat="1" applyFont="1" applyAlignment="1">
      <alignment horizontal="center" vertical="center"/>
    </xf>
    <xf numFmtId="169" fontId="50" fillId="0" borderId="0" xfId="2" applyNumberFormat="1" applyFont="1" applyAlignment="1">
      <alignment vertical="center"/>
    </xf>
    <xf numFmtId="166" fontId="47" fillId="0" borderId="0" xfId="2" applyFont="1"/>
    <xf numFmtId="166" fontId="47" fillId="8" borderId="0" xfId="2" applyFont="1" applyFill="1"/>
    <xf numFmtId="166" fontId="48" fillId="0" borderId="0" xfId="2" applyFont="1" applyAlignment="1">
      <alignment vertical="center"/>
    </xf>
    <xf numFmtId="169" fontId="44" fillId="0" borderId="0" xfId="2" applyNumberFormat="1" applyFont="1" applyAlignment="1">
      <alignment horizontal="center"/>
    </xf>
    <xf numFmtId="166" fontId="46" fillId="0" borderId="0" xfId="2" applyFont="1" applyAlignment="1">
      <alignment horizontal="center"/>
    </xf>
    <xf numFmtId="169" fontId="50" fillId="0" borderId="0" xfId="2" applyNumberFormat="1" applyFont="1" applyAlignment="1">
      <alignment horizontal="right" vertical="center"/>
    </xf>
    <xf numFmtId="169" fontId="48" fillId="8" borderId="0" xfId="2" applyNumberFormat="1" applyFont="1" applyFill="1" applyAlignment="1">
      <alignment horizontal="center"/>
    </xf>
    <xf numFmtId="166" fontId="44" fillId="0" borderId="0" xfId="2" applyFont="1" applyAlignment="1">
      <alignment horizontal="right" vertical="center"/>
    </xf>
    <xf numFmtId="169" fontId="50" fillId="0" borderId="0" xfId="2" applyNumberFormat="1" applyFont="1" applyAlignment="1">
      <alignment horizontal="right"/>
    </xf>
    <xf numFmtId="166" fontId="44" fillId="0" borderId="0" xfId="2" applyFont="1"/>
    <xf numFmtId="166" fontId="48" fillId="0" borderId="0" xfId="2" applyFont="1"/>
    <xf numFmtId="169" fontId="51" fillId="0" borderId="0" xfId="2" applyNumberFormat="1" applyFont="1"/>
    <xf numFmtId="169" fontId="48" fillId="0" borderId="0" xfId="2" applyNumberFormat="1" applyFont="1"/>
    <xf numFmtId="166" fontId="48" fillId="0" borderId="0" xfId="2" applyFont="1" applyAlignment="1">
      <alignment horizontal="center"/>
    </xf>
    <xf numFmtId="166" fontId="50" fillId="0" borderId="0" xfId="2" applyFont="1" applyAlignment="1">
      <alignment horizontal="center"/>
    </xf>
    <xf numFmtId="166" fontId="51" fillId="0" borderId="0" xfId="2" applyFont="1"/>
    <xf numFmtId="169" fontId="48" fillId="0" borderId="0" xfId="2" applyNumberFormat="1" applyFont="1" applyAlignment="1">
      <alignment horizontal="center"/>
    </xf>
    <xf numFmtId="169" fontId="44" fillId="0" borderId="0" xfId="2" applyNumberFormat="1" applyFont="1"/>
    <xf numFmtId="166" fontId="4" fillId="0" borderId="0" xfId="2" applyFont="1"/>
    <xf numFmtId="166" fontId="47" fillId="0" borderId="0" xfId="2" applyFont="1" applyAlignment="1">
      <alignment horizontal="center"/>
    </xf>
    <xf numFmtId="166" fontId="52" fillId="0" borderId="0" xfId="2" applyFont="1" applyAlignment="1">
      <alignment horizontal="center"/>
    </xf>
    <xf numFmtId="166" fontId="53" fillId="0" borderId="0" xfId="2" applyFont="1"/>
    <xf numFmtId="166" fontId="51" fillId="0" borderId="0" xfId="2" applyFont="1" applyAlignment="1">
      <alignment horizontal="center"/>
    </xf>
    <xf numFmtId="166" fontId="44" fillId="0" borderId="0" xfId="2" applyFont="1" applyAlignment="1">
      <alignment horizontal="right"/>
    </xf>
    <xf numFmtId="166" fontId="4" fillId="8" borderId="0" xfId="2" applyFont="1" applyFill="1"/>
    <xf numFmtId="168" fontId="4" fillId="8" borderId="0" xfId="2" applyNumberFormat="1" applyFont="1" applyFill="1"/>
    <xf numFmtId="169" fontId="53" fillId="8" borderId="0" xfId="2" applyNumberFormat="1" applyFont="1" applyFill="1" applyAlignment="1">
      <alignment horizontal="right"/>
    </xf>
    <xf numFmtId="169" fontId="52" fillId="8" borderId="0" xfId="2" applyNumberFormat="1" applyFont="1" applyFill="1" applyAlignment="1"/>
    <xf numFmtId="169" fontId="53" fillId="0" borderId="0" xfId="2" applyNumberFormat="1" applyFont="1" applyAlignment="1">
      <alignment horizontal="right"/>
    </xf>
    <xf numFmtId="169" fontId="52" fillId="0" borderId="0" xfId="2" applyNumberFormat="1" applyFont="1" applyAlignment="1"/>
    <xf numFmtId="169" fontId="47" fillId="8" borderId="0" xfId="2" applyNumberFormat="1" applyFont="1" applyFill="1" applyAlignment="1">
      <alignment horizontal="center"/>
    </xf>
    <xf numFmtId="166" fontId="54" fillId="0" borderId="0" xfId="2" applyFont="1" applyAlignment="1">
      <alignment vertical="center"/>
    </xf>
    <xf numFmtId="169" fontId="4" fillId="0" borderId="0" xfId="2" applyNumberFormat="1" applyFont="1" applyAlignment="1">
      <alignment horizontal="right"/>
    </xf>
    <xf numFmtId="166" fontId="52" fillId="0" borderId="0" xfId="2" applyFont="1" applyAlignment="1"/>
    <xf numFmtId="169" fontId="51" fillId="0" borderId="0" xfId="2" applyNumberFormat="1" applyFont="1" applyAlignment="1">
      <alignment horizontal="right"/>
    </xf>
    <xf numFmtId="169" fontId="50" fillId="0" borderId="0" xfId="2" applyNumberFormat="1" applyFont="1" applyAlignment="1">
      <alignment horizontal="center"/>
    </xf>
    <xf numFmtId="169" fontId="52" fillId="0" borderId="0" xfId="2" applyNumberFormat="1" applyFont="1" applyAlignment="1">
      <alignment horizontal="center"/>
    </xf>
    <xf numFmtId="166" fontId="52" fillId="0" borderId="0" xfId="2" applyFont="1" applyAlignment="1">
      <alignment horizontal="right"/>
    </xf>
    <xf numFmtId="166" fontId="52" fillId="0" borderId="0" xfId="2" applyFont="1" applyAlignment="1">
      <alignment horizontal="right" vertical="center"/>
    </xf>
    <xf numFmtId="169" fontId="52" fillId="0" borderId="0" xfId="2" applyNumberFormat="1" applyFont="1" applyAlignment="1">
      <alignment horizontal="right"/>
    </xf>
    <xf numFmtId="169" fontId="52" fillId="8" borderId="0" xfId="2" applyNumberFormat="1" applyFont="1" applyFill="1" applyAlignment="1">
      <alignment horizontal="right"/>
    </xf>
    <xf numFmtId="169" fontId="4" fillId="0" borderId="0" xfId="2" applyNumberFormat="1" applyFont="1" applyAlignment="1">
      <alignment horizontal="left"/>
    </xf>
    <xf numFmtId="169" fontId="53" fillId="0" borderId="0" xfId="2" applyNumberFormat="1" applyFont="1"/>
    <xf numFmtId="166" fontId="4" fillId="0" borderId="0" xfId="2" applyFont="1" applyAlignment="1">
      <alignment horizontal="right"/>
    </xf>
    <xf numFmtId="164" fontId="44" fillId="0" borderId="0" xfId="2" applyNumberFormat="1" applyFont="1" applyAlignment="1">
      <alignment horizontal="right"/>
    </xf>
    <xf numFmtId="169" fontId="47" fillId="0" borderId="0" xfId="2" applyNumberFormat="1" applyFont="1" applyAlignment="1">
      <alignment horizontal="center"/>
    </xf>
    <xf numFmtId="169" fontId="48" fillId="0" borderId="0" xfId="2" applyNumberFormat="1" applyFont="1" applyAlignment="1">
      <alignment horizontal="center" vertical="center"/>
    </xf>
    <xf numFmtId="166" fontId="53" fillId="0" borderId="0" xfId="2" applyFont="1" applyAlignment="1">
      <alignment horizontal="center"/>
    </xf>
    <xf numFmtId="169" fontId="53" fillId="8" borderId="0" xfId="2" applyNumberFormat="1" applyFont="1" applyFill="1" applyAlignment="1">
      <alignment horizontal="center"/>
    </xf>
    <xf numFmtId="169" fontId="51" fillId="0" borderId="0" xfId="2" applyNumberFormat="1" applyFont="1" applyAlignment="1">
      <alignment horizontal="center"/>
    </xf>
    <xf numFmtId="169" fontId="53" fillId="0" borderId="0" xfId="2" applyNumberFormat="1" applyFont="1" applyAlignment="1">
      <alignment horizontal="center"/>
    </xf>
    <xf numFmtId="166" fontId="40" fillId="0" borderId="0" xfId="2" applyFont="1" applyAlignment="1">
      <alignment horizontal="center"/>
    </xf>
    <xf numFmtId="165" fontId="55" fillId="8" borderId="0" xfId="3" applyNumberFormat="1" applyFont="1" applyFill="1" applyBorder="1" applyAlignment="1" applyProtection="1">
      <alignment horizontal="center"/>
    </xf>
    <xf numFmtId="165" fontId="56" fillId="8" borderId="0" xfId="3" applyNumberFormat="1" applyFont="1" applyFill="1" applyBorder="1" applyAlignment="1" applyProtection="1">
      <alignment horizontal="center"/>
    </xf>
    <xf numFmtId="165" fontId="56" fillId="8" borderId="0" xfId="3" applyNumberFormat="1" applyFont="1" applyFill="1" applyBorder="1" applyAlignment="1" applyProtection="1">
      <alignment horizontal="center" vertical="center"/>
    </xf>
    <xf numFmtId="166" fontId="55" fillId="8" borderId="0" xfId="2" applyFont="1" applyFill="1"/>
    <xf numFmtId="165" fontId="57" fillId="8" borderId="0" xfId="3" applyNumberFormat="1" applyFont="1" applyFill="1" applyBorder="1" applyAlignment="1" applyProtection="1">
      <alignment horizontal="center"/>
    </xf>
    <xf numFmtId="0" fontId="17" fillId="3" borderId="0" xfId="0" applyFont="1" applyFill="1"/>
    <xf numFmtId="166" fontId="50" fillId="0" borderId="0" xfId="2" applyFont="1"/>
    <xf numFmtId="169" fontId="50" fillId="0" borderId="0" xfId="2" applyNumberFormat="1" applyFont="1"/>
    <xf numFmtId="166" fontId="58" fillId="0" borderId="0" xfId="2" applyFont="1" applyAlignment="1">
      <alignment horizontal="center"/>
    </xf>
    <xf numFmtId="166" fontId="58" fillId="0" borderId="0" xfId="2" applyFont="1"/>
    <xf numFmtId="165" fontId="50" fillId="8" borderId="0" xfId="3" applyNumberFormat="1" applyFont="1" applyFill="1" applyBorder="1" applyAlignment="1" applyProtection="1">
      <alignment horizontal="center"/>
    </xf>
    <xf numFmtId="166" fontId="50" fillId="0" borderId="0" xfId="2" applyFont="1" applyAlignment="1">
      <alignment horizontal="left"/>
    </xf>
    <xf numFmtId="164" fontId="50" fillId="0" borderId="0" xfId="2" applyNumberFormat="1" applyFont="1" applyAlignment="1">
      <alignment horizontal="right"/>
    </xf>
    <xf numFmtId="166" fontId="27" fillId="0" borderId="0" xfId="2" applyFont="1"/>
    <xf numFmtId="166" fontId="59" fillId="0" borderId="0" xfId="2" applyFont="1"/>
    <xf numFmtId="0" fontId="60" fillId="0" borderId="0" xfId="0" applyFont="1"/>
    <xf numFmtId="0" fontId="61" fillId="0" borderId="0" xfId="0" applyFont="1"/>
    <xf numFmtId="9" fontId="4" fillId="0" borderId="0" xfId="1" applyFont="1"/>
    <xf numFmtId="9" fontId="4" fillId="8" borderId="0" xfId="1" applyFont="1" applyFill="1"/>
    <xf numFmtId="9" fontId="54" fillId="0" borderId="0" xfId="1" applyFont="1" applyAlignment="1">
      <alignment vertical="center"/>
    </xf>
    <xf numFmtId="9" fontId="4" fillId="0" borderId="0" xfId="1" applyFont="1" applyAlignment="1">
      <alignment horizontal="right"/>
    </xf>
    <xf numFmtId="9" fontId="44" fillId="0" borderId="0" xfId="1" applyFont="1" applyAlignment="1">
      <alignment vertical="center"/>
    </xf>
    <xf numFmtId="9" fontId="4" fillId="0" borderId="0" xfId="1" applyFont="1" applyAlignment="1">
      <alignment horizontal="left"/>
    </xf>
    <xf numFmtId="9" fontId="44" fillId="0" borderId="0" xfId="1" applyFont="1" applyFill="1" applyBorder="1" applyAlignment="1" applyProtection="1"/>
    <xf numFmtId="9" fontId="59" fillId="0" borderId="0" xfId="1" applyFont="1" applyFill="1" applyBorder="1" applyAlignment="1" applyProtection="1"/>
    <xf numFmtId="9" fontId="50" fillId="0" borderId="0" xfId="1" applyFont="1" applyAlignment="1">
      <alignment horizontal="right"/>
    </xf>
    <xf numFmtId="9" fontId="60" fillId="0" borderId="0" xfId="1" applyFont="1" applyFill="1" applyBorder="1" applyAlignment="1" applyProtection="1"/>
    <xf numFmtId="9" fontId="37" fillId="0" borderId="0" xfId="1" applyFont="1"/>
    <xf numFmtId="9" fontId="0" fillId="0" borderId="0" xfId="1" applyFont="1"/>
    <xf numFmtId="169" fontId="50" fillId="8" borderId="0" xfId="2" applyNumberFormat="1" applyFont="1" applyFill="1" applyAlignment="1">
      <alignment horizontal="right"/>
    </xf>
    <xf numFmtId="169" fontId="52" fillId="8" borderId="0" xfId="2" applyNumberFormat="1" applyFont="1" applyFill="1" applyAlignment="1">
      <alignment horizontal="center"/>
    </xf>
    <xf numFmtId="166" fontId="52" fillId="0" borderId="0" xfId="2" applyFont="1" applyAlignment="1">
      <alignment horizontal="center" vertical="center"/>
    </xf>
    <xf numFmtId="166" fontId="50" fillId="0" borderId="0" xfId="2" applyFont="1" applyAlignment="1">
      <alignment horizontal="center" vertical="center"/>
    </xf>
    <xf numFmtId="166" fontId="50" fillId="0" borderId="0" xfId="2" applyFont="1" applyAlignment="1">
      <alignment horizontal="right" vertical="center"/>
    </xf>
    <xf numFmtId="166" fontId="3" fillId="0" borderId="0" xfId="2" applyFont="1"/>
    <xf numFmtId="166" fontId="4" fillId="8" borderId="0" xfId="2" applyFont="1" applyFill="1" applyAlignment="1">
      <alignment horizontal="center"/>
    </xf>
    <xf numFmtId="166" fontId="54" fillId="0" borderId="0" xfId="2" applyFont="1" applyAlignment="1">
      <alignment horizontal="center" vertical="center"/>
    </xf>
    <xf numFmtId="166" fontId="4" fillId="0" borderId="0" xfId="2" applyFont="1" applyAlignment="1">
      <alignment horizontal="center"/>
    </xf>
    <xf numFmtId="166" fontId="3" fillId="8" borderId="0" xfId="2" applyFont="1" applyFill="1"/>
    <xf numFmtId="166" fontId="44" fillId="0" borderId="0" xfId="2" applyFont="1" applyAlignment="1">
      <alignment horizontal="left"/>
    </xf>
    <xf numFmtId="166" fontId="46" fillId="0" borderId="0" xfId="2" applyFont="1" applyAlignment="1">
      <alignment vertical="center"/>
    </xf>
    <xf numFmtId="9" fontId="46" fillId="0" borderId="0" xfId="1" applyFont="1" applyAlignment="1">
      <alignment vertical="center"/>
    </xf>
    <xf numFmtId="0" fontId="24" fillId="0" borderId="0" xfId="0" applyFont="1" applyAlignment="1">
      <alignment horizontal="center"/>
    </xf>
    <xf numFmtId="166" fontId="62" fillId="0" borderId="0" xfId="2" applyFont="1"/>
    <xf numFmtId="169" fontId="62" fillId="0" borderId="0" xfId="2" applyNumberFormat="1" applyFont="1"/>
    <xf numFmtId="166" fontId="62" fillId="0" borderId="0" xfId="2" applyFont="1" applyAlignment="1">
      <alignment horizontal="center"/>
    </xf>
    <xf numFmtId="166" fontId="63" fillId="0" borderId="0" xfId="2" applyFont="1" applyAlignment="1">
      <alignment horizontal="center"/>
    </xf>
    <xf numFmtId="165" fontId="62" fillId="8" borderId="0" xfId="3" applyNumberFormat="1" applyFont="1" applyFill="1" applyBorder="1" applyAlignment="1" applyProtection="1">
      <alignment horizontal="center"/>
    </xf>
    <xf numFmtId="169" fontId="62" fillId="0" borderId="0" xfId="2" applyNumberFormat="1" applyFont="1" applyAlignment="1">
      <alignment horizontal="center"/>
    </xf>
    <xf numFmtId="9" fontId="62" fillId="0" borderId="0" xfId="1" applyFont="1" applyFill="1" applyBorder="1" applyAlignment="1" applyProtection="1"/>
    <xf numFmtId="0" fontId="62" fillId="0" borderId="0" xfId="0" applyFont="1"/>
    <xf numFmtId="0" fontId="35" fillId="0" borderId="0" xfId="0" applyFont="1"/>
    <xf numFmtId="166" fontId="64" fillId="0" borderId="0" xfId="2" applyFont="1"/>
    <xf numFmtId="164" fontId="62" fillId="0" borderId="0" xfId="2" applyNumberFormat="1" applyFont="1" applyAlignment="1">
      <alignment horizontal="right"/>
    </xf>
    <xf numFmtId="169" fontId="65" fillId="0" borderId="0" xfId="2" applyNumberFormat="1" applyFont="1" applyAlignment="1">
      <alignment horizontal="center" vertical="center"/>
    </xf>
    <xf numFmtId="166" fontId="66" fillId="0" borderId="0" xfId="2" applyFont="1"/>
    <xf numFmtId="166" fontId="67" fillId="0" borderId="0" xfId="2" applyFont="1" applyAlignment="1">
      <alignment horizontal="center"/>
    </xf>
    <xf numFmtId="166" fontId="69" fillId="0" borderId="0" xfId="2" applyFont="1" applyAlignment="1">
      <alignment horizontal="center"/>
    </xf>
    <xf numFmtId="166" fontId="68" fillId="0" borderId="0" xfId="2" applyFont="1" applyAlignment="1">
      <alignment horizontal="center"/>
    </xf>
    <xf numFmtId="165" fontId="70" fillId="8" borderId="0" xfId="3" applyNumberFormat="1" applyFont="1" applyFill="1" applyBorder="1" applyAlignment="1" applyProtection="1">
      <alignment horizontal="center"/>
    </xf>
    <xf numFmtId="166" fontId="71" fillId="0" borderId="0" xfId="2" applyFont="1" applyAlignment="1">
      <alignment horizontal="center"/>
    </xf>
    <xf numFmtId="9" fontId="66" fillId="0" borderId="0" xfId="1" applyFont="1"/>
    <xf numFmtId="166" fontId="2" fillId="8" borderId="0" xfId="2" applyFont="1" applyFill="1"/>
    <xf numFmtId="0" fontId="0" fillId="7" borderId="0" xfId="0" applyFill="1" applyAlignment="1">
      <alignment horizontal="center"/>
    </xf>
    <xf numFmtId="166" fontId="3" fillId="9" borderId="0" xfId="2" applyFont="1" applyFill="1"/>
    <xf numFmtId="166" fontId="4" fillId="9" borderId="0" xfId="2" applyFont="1" applyFill="1"/>
    <xf numFmtId="168" fontId="4" fillId="9" borderId="0" xfId="2" applyNumberFormat="1" applyFont="1" applyFill="1"/>
    <xf numFmtId="169" fontId="46" fillId="9" borderId="0" xfId="2" applyNumberFormat="1" applyFont="1" applyFill="1" applyAlignment="1">
      <alignment horizontal="center"/>
    </xf>
    <xf numFmtId="166" fontId="47" fillId="9" borderId="0" xfId="2" applyFont="1" applyFill="1"/>
    <xf numFmtId="169" fontId="47" fillId="9" borderId="0" xfId="2" applyNumberFormat="1" applyFont="1" applyFill="1" applyAlignment="1">
      <alignment horizontal="center"/>
    </xf>
    <xf numFmtId="165" fontId="55" fillId="9" borderId="0" xfId="3" applyNumberFormat="1" applyFont="1" applyFill="1" applyBorder="1" applyAlignment="1" applyProtection="1">
      <alignment horizontal="center"/>
    </xf>
    <xf numFmtId="169" fontId="52" fillId="9" borderId="0" xfId="2" applyNumberFormat="1" applyFont="1" applyFill="1" applyAlignment="1">
      <alignment horizontal="center"/>
    </xf>
    <xf numFmtId="9" fontId="4" fillId="9" borderId="0" xfId="1" applyFont="1" applyFill="1"/>
    <xf numFmtId="166" fontId="37" fillId="9" borderId="0" xfId="2" applyFill="1"/>
    <xf numFmtId="166" fontId="3" fillId="7" borderId="0" xfId="2" applyFont="1" applyFill="1"/>
    <xf numFmtId="166" fontId="4" fillId="7" borderId="0" xfId="2" applyFont="1" applyFill="1"/>
    <xf numFmtId="169" fontId="46" fillId="7" borderId="0" xfId="2" applyNumberFormat="1" applyFont="1" applyFill="1" applyAlignment="1">
      <alignment horizontal="center"/>
    </xf>
    <xf numFmtId="166" fontId="47" fillId="7" borderId="0" xfId="2" applyFont="1" applyFill="1"/>
    <xf numFmtId="169" fontId="47" fillId="7" borderId="0" xfId="2" applyNumberFormat="1" applyFont="1" applyFill="1" applyAlignment="1">
      <alignment horizontal="center"/>
    </xf>
    <xf numFmtId="166" fontId="37" fillId="7" borderId="0" xfId="2" applyFill="1"/>
    <xf numFmtId="169" fontId="36" fillId="7" borderId="0" xfId="2" applyNumberFormat="1" applyFont="1" applyFill="1" applyAlignment="1">
      <alignment horizontal="left"/>
    </xf>
    <xf numFmtId="166" fontId="44" fillId="7" borderId="0" xfId="2" applyFont="1" applyFill="1"/>
    <xf numFmtId="166" fontId="36" fillId="7" borderId="0" xfId="2" applyFont="1" applyFill="1"/>
    <xf numFmtId="169" fontId="53" fillId="7" borderId="0" xfId="2" applyNumberFormat="1" applyFont="1" applyFill="1" applyAlignment="1">
      <alignment horizontal="center"/>
    </xf>
    <xf numFmtId="9" fontId="52" fillId="7" borderId="0" xfId="1" applyFont="1" applyFill="1" applyAlignment="1">
      <alignment horizontal="center"/>
    </xf>
    <xf numFmtId="9" fontId="4" fillId="7" borderId="0" xfId="1" applyFont="1" applyFill="1"/>
    <xf numFmtId="166" fontId="4" fillId="7" borderId="0" xfId="2" applyFont="1" applyFill="1" applyAlignment="1">
      <alignment horizontal="right"/>
    </xf>
    <xf numFmtId="2" fontId="48" fillId="0" borderId="0" xfId="2" applyNumberFormat="1" applyFont="1"/>
    <xf numFmtId="166" fontId="72" fillId="0" borderId="0" xfId="2" applyFont="1"/>
    <xf numFmtId="2" fontId="46" fillId="9" borderId="0" xfId="2" applyNumberFormat="1" applyFont="1" applyFill="1" applyAlignment="1">
      <alignment horizontal="center"/>
    </xf>
    <xf numFmtId="2" fontId="46" fillId="8" borderId="0" xfId="2" applyNumberFormat="1" applyFont="1" applyFill="1" applyAlignment="1">
      <alignment horizontal="center"/>
    </xf>
    <xf numFmtId="2" fontId="49" fillId="8" borderId="0" xfId="2" applyNumberFormat="1" applyFont="1" applyFill="1" applyAlignment="1">
      <alignment horizontal="center"/>
    </xf>
    <xf numFmtId="2" fontId="44" fillId="0" borderId="0" xfId="2" applyNumberFormat="1" applyFont="1" applyAlignment="1">
      <alignment horizontal="center" vertical="center"/>
    </xf>
    <xf numFmtId="2" fontId="46" fillId="0" borderId="0" xfId="2" applyNumberFormat="1" applyFont="1" applyAlignment="1">
      <alignment horizontal="center"/>
    </xf>
    <xf numFmtId="2" fontId="44" fillId="0" borderId="0" xfId="2" applyNumberFormat="1" applyFont="1" applyAlignment="1">
      <alignment horizontal="center"/>
    </xf>
    <xf numFmtId="166" fontId="44" fillId="10" borderId="0" xfId="2" applyFont="1" applyFill="1" applyAlignment="1">
      <alignment vertical="center"/>
    </xf>
    <xf numFmtId="9" fontId="4" fillId="11" borderId="0" xfId="1" applyFont="1" applyFill="1"/>
    <xf numFmtId="167" fontId="41" fillId="10" borderId="0" xfId="3" applyFont="1" applyFill="1" applyBorder="1" applyAlignment="1" applyProtection="1">
      <alignment vertical="center"/>
    </xf>
    <xf numFmtId="0" fontId="0" fillId="10" borderId="0" xfId="0" applyFill="1"/>
    <xf numFmtId="166" fontId="46" fillId="10" borderId="0" xfId="2" applyFont="1" applyFill="1" applyAlignment="1">
      <alignment vertical="center"/>
    </xf>
    <xf numFmtId="9" fontId="46" fillId="10" borderId="0" xfId="1" applyFont="1" applyFill="1" applyAlignment="1">
      <alignment vertical="center"/>
    </xf>
    <xf numFmtId="0" fontId="5" fillId="10" borderId="0" xfId="0" applyFont="1" applyFill="1"/>
    <xf numFmtId="166" fontId="54" fillId="10" borderId="0" xfId="2" applyFont="1" applyFill="1" applyAlignment="1">
      <alignment vertical="center"/>
    </xf>
    <xf numFmtId="9" fontId="54" fillId="10" borderId="0" xfId="1" applyFont="1" applyFill="1" applyAlignment="1">
      <alignment vertical="center"/>
    </xf>
    <xf numFmtId="2" fontId="0" fillId="10" borderId="0" xfId="0" applyNumberFormat="1" applyFill="1" applyAlignment="1">
      <alignment horizontal="right" vertical="center"/>
    </xf>
    <xf numFmtId="0" fontId="0" fillId="10" borderId="0" xfId="0" applyFill="1" applyAlignment="1">
      <alignment vertical="center"/>
    </xf>
    <xf numFmtId="166" fontId="74" fillId="0" borderId="0" xfId="2" applyFont="1" applyAlignment="1">
      <alignment horizontal="center"/>
    </xf>
    <xf numFmtId="166" fontId="74" fillId="0" borderId="0" xfId="2" applyFont="1"/>
    <xf numFmtId="2" fontId="52" fillId="0" borderId="0" xfId="2" applyNumberFormat="1" applyFont="1"/>
    <xf numFmtId="166" fontId="75" fillId="0" borderId="0" xfId="2" applyFont="1" applyAlignment="1">
      <alignment horizontal="center"/>
    </xf>
    <xf numFmtId="165" fontId="74" fillId="8" borderId="0" xfId="3" applyNumberFormat="1" applyFont="1" applyFill="1" applyBorder="1" applyAlignment="1" applyProtection="1">
      <alignment horizontal="center"/>
    </xf>
    <xf numFmtId="9" fontId="74" fillId="0" borderId="0" xfId="1" applyFont="1"/>
    <xf numFmtId="166" fontId="76" fillId="0" borderId="0" xfId="2" applyFont="1"/>
    <xf numFmtId="0" fontId="77" fillId="0" borderId="0" xfId="0" applyFont="1"/>
    <xf numFmtId="166" fontId="67" fillId="0" borderId="0" xfId="2" applyFont="1"/>
    <xf numFmtId="2" fontId="46" fillId="0" borderId="0" xfId="2" applyNumberFormat="1" applyFont="1"/>
    <xf numFmtId="166" fontId="78" fillId="0" borderId="0" xfId="2" applyFont="1" applyAlignment="1">
      <alignment horizontal="center"/>
    </xf>
    <xf numFmtId="165" fontId="67" fillId="8" borderId="0" xfId="3" applyNumberFormat="1" applyFont="1" applyFill="1" applyBorder="1" applyAlignment="1" applyProtection="1">
      <alignment horizontal="center"/>
    </xf>
    <xf numFmtId="9" fontId="67" fillId="0" borderId="0" xfId="1" applyFont="1"/>
    <xf numFmtId="166" fontId="46" fillId="3" borderId="0" xfId="2" applyFont="1" applyFill="1" applyAlignment="1">
      <alignment horizontal="center"/>
    </xf>
    <xf numFmtId="2" fontId="46" fillId="3" borderId="0" xfId="2" applyNumberFormat="1" applyFont="1" applyFill="1" applyAlignment="1">
      <alignment horizontal="center"/>
    </xf>
    <xf numFmtId="169" fontId="46" fillId="3" borderId="0" xfId="2" applyNumberFormat="1" applyFont="1" applyFill="1" applyAlignment="1">
      <alignment horizontal="center"/>
    </xf>
    <xf numFmtId="166" fontId="74" fillId="3" borderId="0" xfId="2" applyFont="1" applyFill="1" applyAlignment="1">
      <alignment horizontal="center"/>
    </xf>
    <xf numFmtId="166" fontId="67" fillId="3" borderId="0" xfId="2" applyFont="1" applyFill="1" applyAlignment="1">
      <alignment horizontal="center"/>
    </xf>
    <xf numFmtId="166" fontId="5" fillId="3" borderId="0" xfId="2" applyFont="1" applyFill="1" applyAlignment="1">
      <alignment horizontal="center"/>
    </xf>
    <xf numFmtId="0" fontId="0" fillId="3" borderId="0" xfId="0" applyFill="1" applyAlignment="1">
      <alignment horizontal="center"/>
    </xf>
    <xf numFmtId="166" fontId="3" fillId="12" borderId="0" xfId="2" applyFont="1" applyFill="1"/>
    <xf numFmtId="166" fontId="4" fillId="12" borderId="0" xfId="2" applyFont="1" applyFill="1"/>
    <xf numFmtId="168" fontId="4" fillId="12" borderId="0" xfId="2" applyNumberFormat="1" applyFont="1" applyFill="1"/>
    <xf numFmtId="166" fontId="47" fillId="12" borderId="0" xfId="2" applyFont="1" applyFill="1"/>
    <xf numFmtId="9" fontId="4" fillId="12" borderId="0" xfId="1" applyFont="1" applyFill="1"/>
    <xf numFmtId="166" fontId="37" fillId="12" borderId="0" xfId="2" applyFill="1"/>
    <xf numFmtId="166" fontId="3" fillId="3" borderId="0" xfId="2" applyFont="1" applyFill="1"/>
    <xf numFmtId="166" fontId="4" fillId="3" borderId="0" xfId="2" applyFont="1" applyFill="1"/>
    <xf numFmtId="166" fontId="37" fillId="3" borderId="0" xfId="2" applyFill="1"/>
    <xf numFmtId="9" fontId="79" fillId="0" borderId="0" xfId="1" applyFont="1"/>
    <xf numFmtId="166" fontId="52" fillId="0" borderId="0" xfId="2" applyFont="1"/>
    <xf numFmtId="169" fontId="52" fillId="0" borderId="0" xfId="2" applyNumberFormat="1" applyFont="1"/>
    <xf numFmtId="166" fontId="52" fillId="3" borderId="0" xfId="2" applyFont="1" applyFill="1" applyAlignment="1">
      <alignment horizontal="center"/>
    </xf>
    <xf numFmtId="166" fontId="80" fillId="0" borderId="0" xfId="2" applyFont="1" applyAlignment="1">
      <alignment horizontal="center"/>
    </xf>
    <xf numFmtId="165" fontId="52" fillId="8" borderId="0" xfId="3" applyNumberFormat="1" applyFont="1" applyFill="1" applyBorder="1" applyAlignment="1" applyProtection="1">
      <alignment horizontal="center"/>
    </xf>
    <xf numFmtId="9" fontId="52" fillId="0" borderId="0" xfId="1" applyFont="1" applyFill="1" applyBorder="1" applyAlignment="1" applyProtection="1"/>
    <xf numFmtId="0" fontId="52" fillId="0" borderId="0" xfId="0" applyFont="1"/>
    <xf numFmtId="0" fontId="73" fillId="0" borderId="0" xfId="0" applyFont="1"/>
    <xf numFmtId="164" fontId="52" fillId="0" borderId="0" xfId="2" applyNumberFormat="1" applyFont="1" applyAlignment="1">
      <alignment horizontal="right"/>
    </xf>
    <xf numFmtId="166" fontId="1" fillId="12" borderId="0" xfId="2" applyFont="1" applyFill="1"/>
    <xf numFmtId="166" fontId="81" fillId="0" borderId="0" xfId="2" applyFont="1" applyAlignment="1">
      <alignment horizontal="center"/>
    </xf>
    <xf numFmtId="165" fontId="46" fillId="8" borderId="0" xfId="3" applyNumberFormat="1" applyFont="1" applyFill="1" applyBorder="1" applyAlignment="1" applyProtection="1">
      <alignment horizontal="center"/>
    </xf>
    <xf numFmtId="166" fontId="1" fillId="0" borderId="0" xfId="2" applyFont="1" applyFill="1"/>
    <xf numFmtId="0" fontId="54" fillId="0" borderId="0" xfId="0" applyFont="1"/>
    <xf numFmtId="169" fontId="46" fillId="12" borderId="0" xfId="2" applyNumberFormat="1" applyFont="1" applyFill="1" applyAlignment="1">
      <alignment horizontal="right"/>
    </xf>
    <xf numFmtId="169" fontId="46" fillId="8" borderId="0" xfId="2" applyNumberFormat="1" applyFont="1" applyFill="1" applyAlignment="1">
      <alignment horizontal="right"/>
    </xf>
    <xf numFmtId="169" fontId="49" fillId="8" borderId="0" xfId="2" applyNumberFormat="1" applyFont="1" applyFill="1" applyAlignment="1">
      <alignment horizontal="right"/>
    </xf>
    <xf numFmtId="169" fontId="44" fillId="0" borderId="0" xfId="2" applyNumberFormat="1" applyFont="1" applyAlignment="1">
      <alignment horizontal="right" vertical="center"/>
    </xf>
    <xf numFmtId="2" fontId="46" fillId="12" borderId="0" xfId="2" applyNumberFormat="1" applyFont="1" applyFill="1" applyAlignment="1">
      <alignment horizontal="right"/>
    </xf>
    <xf numFmtId="2" fontId="44" fillId="3" borderId="0" xfId="2" applyNumberFormat="1" applyFont="1" applyFill="1" applyAlignment="1">
      <alignment horizontal="right" vertical="center"/>
    </xf>
    <xf numFmtId="169" fontId="54" fillId="12" borderId="0" xfId="2" applyNumberFormat="1" applyFont="1" applyFill="1" applyAlignment="1">
      <alignment horizontal="right"/>
    </xf>
    <xf numFmtId="169" fontId="54" fillId="0" borderId="0" xfId="2" applyNumberFormat="1" applyFont="1" applyAlignment="1">
      <alignment horizontal="right"/>
    </xf>
    <xf numFmtId="169" fontId="54" fillId="8" borderId="0" xfId="2" applyNumberFormat="1" applyFont="1" applyFill="1" applyAlignment="1">
      <alignment horizontal="right"/>
    </xf>
    <xf numFmtId="165" fontId="55" fillId="12" borderId="0" xfId="3" applyNumberFormat="1" applyFont="1" applyFill="1" applyBorder="1" applyAlignment="1" applyProtection="1">
      <alignment horizontal="right"/>
    </xf>
    <xf numFmtId="165" fontId="55" fillId="8" borderId="0" xfId="3" applyNumberFormat="1" applyFont="1" applyFill="1" applyBorder="1" applyAlignment="1" applyProtection="1">
      <alignment horizontal="right"/>
    </xf>
    <xf numFmtId="165" fontId="56" fillId="8" borderId="0" xfId="3" applyNumberFormat="1" applyFont="1" applyFill="1" applyBorder="1" applyAlignment="1" applyProtection="1">
      <alignment horizontal="right" vertical="center"/>
    </xf>
    <xf numFmtId="169" fontId="46" fillId="0" borderId="0" xfId="2" applyNumberFormat="1" applyFont="1" applyAlignment="1">
      <alignment horizontal="right" vertical="center"/>
    </xf>
    <xf numFmtId="166" fontId="47" fillId="0" borderId="0" xfId="2" applyFont="1" applyAlignment="1">
      <alignment horizontal="right"/>
    </xf>
    <xf numFmtId="166" fontId="47" fillId="3" borderId="0" xfId="2" applyFont="1" applyFill="1" applyAlignment="1">
      <alignment horizontal="right"/>
    </xf>
    <xf numFmtId="169" fontId="54" fillId="3" borderId="0" xfId="2" applyNumberFormat="1" applyFont="1" applyFill="1" applyAlignment="1">
      <alignment horizontal="right"/>
    </xf>
    <xf numFmtId="166" fontId="47" fillId="8" borderId="0" xfId="2" applyFont="1" applyFill="1" applyAlignment="1">
      <alignment horizontal="right"/>
    </xf>
    <xf numFmtId="166" fontId="48" fillId="10" borderId="0" xfId="2" applyFont="1" applyFill="1" applyAlignment="1">
      <alignment horizontal="right" vertical="center"/>
    </xf>
    <xf numFmtId="169" fontId="46" fillId="10" borderId="0" xfId="2" applyNumberFormat="1" applyFont="1" applyFill="1" applyAlignment="1">
      <alignment horizontal="right" vertical="center"/>
    </xf>
    <xf numFmtId="165" fontId="56" fillId="11" borderId="0" xfId="3" applyNumberFormat="1" applyFont="1" applyFill="1" applyBorder="1" applyAlignment="1" applyProtection="1">
      <alignment horizontal="right" vertical="center"/>
    </xf>
    <xf numFmtId="169" fontId="44" fillId="10" borderId="0" xfId="2" applyNumberFormat="1" applyFont="1" applyFill="1" applyAlignment="1">
      <alignment horizontal="right" vertical="center"/>
    </xf>
    <xf numFmtId="2" fontId="46" fillId="12" borderId="0" xfId="2" applyNumberFormat="1" applyFont="1" applyFill="1" applyAlignment="1">
      <alignment horizontal="right" vertical="center"/>
    </xf>
    <xf numFmtId="166" fontId="47" fillId="10" borderId="0" xfId="2" applyFont="1" applyFill="1" applyAlignment="1">
      <alignment horizontal="right" vertical="center"/>
    </xf>
    <xf numFmtId="169" fontId="46" fillId="0" borderId="0" xfId="2" applyNumberFormat="1" applyFont="1" applyAlignment="1">
      <alignment horizontal="right"/>
    </xf>
    <xf numFmtId="166" fontId="47" fillId="7" borderId="0" xfId="2" applyFont="1" applyFill="1" applyAlignment="1">
      <alignment horizontal="right"/>
    </xf>
    <xf numFmtId="169" fontId="54" fillId="7" borderId="0" xfId="2" applyNumberFormat="1" applyFont="1" applyFill="1" applyAlignment="1">
      <alignment horizontal="right"/>
    </xf>
    <xf numFmtId="165" fontId="55" fillId="9" borderId="0" xfId="3" applyNumberFormat="1" applyFont="1" applyFill="1" applyBorder="1" applyAlignment="1" applyProtection="1">
      <alignment horizontal="right"/>
    </xf>
    <xf numFmtId="169" fontId="46" fillId="9" borderId="0" xfId="2" applyNumberFormat="1" applyFont="1" applyFill="1" applyAlignment="1">
      <alignment horizontal="right"/>
    </xf>
    <xf numFmtId="169" fontId="54" fillId="9" borderId="0" xfId="2" applyNumberFormat="1" applyFont="1" applyFill="1" applyAlignment="1">
      <alignment horizontal="right"/>
    </xf>
    <xf numFmtId="2" fontId="46" fillId="3" borderId="0" xfId="2" applyNumberFormat="1" applyFont="1" applyFill="1" applyAlignment="1">
      <alignment horizontal="right"/>
    </xf>
    <xf numFmtId="166" fontId="55" fillId="8" borderId="0" xfId="2" applyFont="1" applyFill="1" applyAlignment="1">
      <alignment horizontal="right"/>
    </xf>
    <xf numFmtId="166" fontId="46" fillId="0" borderId="0" xfId="2" applyFont="1" applyAlignment="1">
      <alignment horizontal="right"/>
    </xf>
    <xf numFmtId="169" fontId="44" fillId="3" borderId="0" xfId="2" applyNumberFormat="1" applyFont="1" applyFill="1" applyAlignment="1">
      <alignment horizontal="right" vertical="center"/>
    </xf>
    <xf numFmtId="2" fontId="46" fillId="3" borderId="0" xfId="0" applyNumberFormat="1" applyFont="1" applyFill="1" applyAlignment="1">
      <alignment horizontal="right"/>
    </xf>
    <xf numFmtId="0" fontId="54" fillId="0" borderId="0" xfId="0" applyFont="1" applyAlignment="1">
      <alignment horizontal="right"/>
    </xf>
    <xf numFmtId="2" fontId="46" fillId="0" borderId="0" xfId="0" applyNumberFormat="1" applyFont="1" applyAlignment="1">
      <alignment horizontal="right"/>
    </xf>
    <xf numFmtId="166" fontId="48" fillId="0" borderId="0" xfId="2" applyFont="1" applyAlignment="1">
      <alignment horizontal="right" vertical="center"/>
    </xf>
    <xf numFmtId="169" fontId="44" fillId="0" borderId="0" xfId="2" applyNumberFormat="1" applyFont="1" applyAlignment="1">
      <alignment horizontal="right"/>
    </xf>
    <xf numFmtId="49" fontId="44" fillId="3" borderId="0" xfId="2" applyNumberFormat="1" applyFont="1" applyFill="1" applyAlignment="1">
      <alignment horizontal="right" vertical="center"/>
    </xf>
    <xf numFmtId="169" fontId="53" fillId="7" borderId="0" xfId="2" applyNumberFormat="1" applyFont="1" applyFill="1" applyAlignment="1">
      <alignment horizontal="right"/>
    </xf>
    <xf numFmtId="169" fontId="47" fillId="7" borderId="0" xfId="2" applyNumberFormat="1" applyFont="1" applyFill="1" applyAlignment="1">
      <alignment horizontal="right"/>
    </xf>
    <xf numFmtId="9" fontId="52" fillId="7" borderId="0" xfId="1" applyFont="1" applyFill="1" applyAlignment="1">
      <alignment horizontal="right"/>
    </xf>
    <xf numFmtId="166" fontId="48" fillId="0" borderId="0" xfId="2" applyFont="1" applyAlignment="1">
      <alignment horizontal="right"/>
    </xf>
    <xf numFmtId="169" fontId="48" fillId="0" borderId="0" xfId="2" applyNumberFormat="1" applyFont="1" applyAlignment="1">
      <alignment horizontal="right"/>
    </xf>
    <xf numFmtId="165" fontId="56" fillId="8" borderId="0" xfId="3" applyNumberFormat="1" applyFont="1" applyFill="1" applyBorder="1" applyAlignment="1" applyProtection="1">
      <alignment horizontal="right"/>
    </xf>
    <xf numFmtId="166" fontId="50" fillId="0" borderId="0" xfId="2" applyFont="1" applyAlignment="1">
      <alignment horizontal="right"/>
    </xf>
    <xf numFmtId="2" fontId="67" fillId="0" borderId="0" xfId="2" applyNumberFormat="1" applyFont="1" applyAlignment="1">
      <alignment horizontal="center"/>
    </xf>
    <xf numFmtId="166" fontId="54" fillId="0" borderId="0" xfId="2" applyFont="1" applyAlignment="1">
      <alignment horizontal="right"/>
    </xf>
    <xf numFmtId="167" fontId="82" fillId="13" borderId="0" xfId="4" applyNumberFormat="1" applyBorder="1" applyAlignment="1" applyProtection="1">
      <alignment vertical="center"/>
    </xf>
    <xf numFmtId="170" fontId="54" fillId="0" borderId="0" xfId="2" applyNumberFormat="1" applyFont="1" applyAlignment="1">
      <alignment horizontal="right"/>
    </xf>
    <xf numFmtId="170" fontId="54" fillId="8" borderId="0" xfId="2" applyNumberFormat="1" applyFont="1" applyFill="1" applyAlignment="1">
      <alignment horizontal="right"/>
    </xf>
    <xf numFmtId="170" fontId="44" fillId="0" borderId="0" xfId="2" applyNumberFormat="1" applyFont="1" applyAlignment="1">
      <alignment horizontal="right" vertical="center"/>
    </xf>
    <xf numFmtId="170" fontId="54" fillId="0" borderId="0" xfId="0" applyNumberFormat="1" applyFont="1" applyAlignment="1">
      <alignment horizontal="right"/>
    </xf>
    <xf numFmtId="166" fontId="83" fillId="0" borderId="0" xfId="2" applyFont="1"/>
    <xf numFmtId="2" fontId="54" fillId="12" borderId="0" xfId="2" applyNumberFormat="1" applyFont="1" applyFill="1" applyAlignment="1">
      <alignment horizontal="right"/>
    </xf>
    <xf numFmtId="2" fontId="54" fillId="0" borderId="0" xfId="2" applyNumberFormat="1" applyFont="1" applyAlignment="1">
      <alignment horizontal="right"/>
    </xf>
    <xf numFmtId="2" fontId="54" fillId="8" borderId="0" xfId="2" applyNumberFormat="1" applyFont="1" applyFill="1" applyAlignment="1">
      <alignment horizontal="right"/>
    </xf>
    <xf numFmtId="2" fontId="48" fillId="8" borderId="0" xfId="2" applyNumberFormat="1" applyFont="1" applyFill="1" applyAlignment="1">
      <alignment horizontal="right"/>
    </xf>
    <xf numFmtId="2" fontId="44" fillId="0" borderId="0" xfId="2" applyNumberFormat="1" applyFont="1" applyAlignment="1">
      <alignment horizontal="right" vertical="center"/>
    </xf>
    <xf numFmtId="2" fontId="47" fillId="0" borderId="0" xfId="2" applyNumberFormat="1" applyFont="1" applyAlignment="1">
      <alignment horizontal="center"/>
    </xf>
    <xf numFmtId="2" fontId="46" fillId="10" borderId="0" xfId="2" applyNumberFormat="1" applyFont="1" applyFill="1" applyAlignment="1">
      <alignment horizontal="right" vertical="center"/>
    </xf>
    <xf numFmtId="2" fontId="47" fillId="0" borderId="0" xfId="2" applyNumberFormat="1" applyFont="1" applyAlignment="1">
      <alignment horizontal="right"/>
    </xf>
    <xf numFmtId="2" fontId="54" fillId="7" borderId="0" xfId="2" applyNumberFormat="1" applyFont="1" applyFill="1" applyAlignment="1">
      <alignment horizontal="right"/>
    </xf>
    <xf numFmtId="2" fontId="44" fillId="10" borderId="0" xfId="2" applyNumberFormat="1" applyFont="1" applyFill="1" applyAlignment="1">
      <alignment horizontal="right" vertical="center"/>
    </xf>
  </cellXfs>
  <cellStyles count="5">
    <cellStyle name="Excel Built-in Normal" xfId="2"/>
    <cellStyle name="Excel Built-in Percent" xfId="3"/>
    <cellStyle name="Good" xfId="4" builtinId="26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="80" zoomScaleNormal="80" workbookViewId="0">
      <pane ySplit="4" topLeftCell="A5" activePane="bottomLeft" state="frozen"/>
      <selection pane="bottomLeft" activeCell="J8" sqref="J8"/>
    </sheetView>
  </sheetViews>
  <sheetFormatPr defaultRowHeight="12.75"/>
  <cols>
    <col min="1" max="1" width="5.140625" customWidth="1"/>
    <col min="4" max="4" width="11" customWidth="1"/>
    <col min="5" max="5" width="11.85546875" customWidth="1"/>
    <col min="6" max="6" width="10.140625" customWidth="1"/>
    <col min="7" max="7" width="11.85546875" customWidth="1"/>
    <col min="8" max="8" width="19.28515625" style="39" customWidth="1"/>
    <col min="9" max="9" width="12" style="46" customWidth="1"/>
    <col min="10" max="10" width="14" customWidth="1"/>
    <col min="11" max="11" width="6" customWidth="1"/>
    <col min="12" max="12" width="12.7109375" style="39" customWidth="1"/>
    <col min="13" max="13" width="12.7109375" customWidth="1"/>
    <col min="14" max="14" width="26.28515625" customWidth="1"/>
    <col min="15" max="15" width="10.5703125" customWidth="1"/>
    <col min="16" max="16" width="10.42578125" customWidth="1"/>
  </cols>
  <sheetData>
    <row r="1" spans="1:17">
      <c r="A1" s="1" t="s">
        <v>0</v>
      </c>
      <c r="E1" s="1" t="s">
        <v>98</v>
      </c>
      <c r="F1" s="1"/>
      <c r="G1" s="1"/>
    </row>
    <row r="3" spans="1:17">
      <c r="E3" s="31" t="s">
        <v>1</v>
      </c>
      <c r="F3" s="31"/>
      <c r="G3" s="31"/>
      <c r="I3" s="62" t="s">
        <v>119</v>
      </c>
      <c r="J3" s="1" t="s">
        <v>22</v>
      </c>
      <c r="K3" s="1"/>
    </row>
    <row r="4" spans="1:17">
      <c r="E4" s="31" t="s">
        <v>88</v>
      </c>
      <c r="F4" s="31"/>
      <c r="G4" s="32" t="s">
        <v>19</v>
      </c>
      <c r="H4" s="9" t="s">
        <v>20</v>
      </c>
      <c r="I4" s="62" t="s">
        <v>120</v>
      </c>
      <c r="J4" s="13" t="s">
        <v>99</v>
      </c>
      <c r="L4" s="9" t="s">
        <v>79</v>
      </c>
      <c r="O4" s="11" t="s">
        <v>2</v>
      </c>
    </row>
    <row r="5" spans="1:17">
      <c r="A5" s="1" t="s">
        <v>3</v>
      </c>
      <c r="B5" s="1"/>
      <c r="E5" s="26"/>
      <c r="F5" s="26"/>
      <c r="G5" s="26"/>
      <c r="I5" s="63"/>
      <c r="J5" s="25"/>
    </row>
    <row r="6" spans="1:17">
      <c r="E6" s="26"/>
      <c r="F6" s="26"/>
      <c r="G6" s="26"/>
      <c r="I6" s="63"/>
    </row>
    <row r="7" spans="1:17">
      <c r="A7" s="1" t="s">
        <v>4</v>
      </c>
      <c r="E7" s="26"/>
      <c r="F7" s="26"/>
      <c r="G7" s="26"/>
      <c r="I7" s="63"/>
    </row>
    <row r="8" spans="1:17" ht="35.25" customHeight="1">
      <c r="A8" t="s">
        <v>50</v>
      </c>
      <c r="D8" s="2"/>
      <c r="E8" s="33">
        <v>7520.45</v>
      </c>
      <c r="F8" s="34"/>
      <c r="G8" s="35">
        <v>4380.84</v>
      </c>
      <c r="H8" s="129">
        <v>7520.45</v>
      </c>
      <c r="I8" s="46">
        <v>2.1999999999999999E-2</v>
      </c>
      <c r="J8" s="37">
        <f>E8*(1+I8)</f>
        <v>7685.8999000000003</v>
      </c>
      <c r="L8" s="40"/>
      <c r="M8" t="s">
        <v>100</v>
      </c>
      <c r="O8">
        <v>1</v>
      </c>
      <c r="Q8" s="3"/>
    </row>
    <row r="9" spans="1:17">
      <c r="A9" t="s">
        <v>59</v>
      </c>
      <c r="E9" s="33">
        <v>555</v>
      </c>
      <c r="F9" s="34"/>
      <c r="G9" s="35">
        <v>323.75</v>
      </c>
      <c r="H9" s="129">
        <v>555</v>
      </c>
      <c r="I9" s="46">
        <v>0</v>
      </c>
      <c r="J9" s="60">
        <f t="shared" ref="J9:J22" si="0">E9*(1+I9)</f>
        <v>555</v>
      </c>
    </row>
    <row r="10" spans="1:17">
      <c r="A10" t="s">
        <v>51</v>
      </c>
      <c r="E10" s="33">
        <v>800</v>
      </c>
      <c r="F10" s="34"/>
      <c r="G10" s="35">
        <v>361.48</v>
      </c>
      <c r="H10" s="129">
        <v>600</v>
      </c>
      <c r="I10" s="46">
        <v>-0.25</v>
      </c>
      <c r="J10" s="37">
        <f t="shared" si="0"/>
        <v>600</v>
      </c>
      <c r="L10" s="41">
        <v>200</v>
      </c>
      <c r="M10" t="s">
        <v>104</v>
      </c>
    </row>
    <row r="11" spans="1:17">
      <c r="A11" t="s">
        <v>52</v>
      </c>
      <c r="E11" s="33">
        <v>400</v>
      </c>
      <c r="F11" s="34"/>
      <c r="G11" s="35">
        <v>420</v>
      </c>
      <c r="H11" s="129">
        <v>480</v>
      </c>
      <c r="I11" s="46">
        <v>0.2</v>
      </c>
      <c r="J11" s="37">
        <f t="shared" si="0"/>
        <v>480</v>
      </c>
      <c r="L11" s="41"/>
      <c r="O11">
        <v>3</v>
      </c>
    </row>
    <row r="12" spans="1:17">
      <c r="A12" t="s">
        <v>53</v>
      </c>
      <c r="E12" s="33">
        <v>1375</v>
      </c>
      <c r="F12" s="34"/>
      <c r="G12" s="35">
        <v>1387.36</v>
      </c>
      <c r="H12" s="129">
        <v>1387.36</v>
      </c>
      <c r="I12" s="46">
        <v>0</v>
      </c>
      <c r="J12" s="37">
        <f t="shared" si="0"/>
        <v>1375</v>
      </c>
      <c r="O12">
        <v>4</v>
      </c>
    </row>
    <row r="13" spans="1:17">
      <c r="A13" t="s">
        <v>54</v>
      </c>
      <c r="E13" s="33">
        <v>17182</v>
      </c>
      <c r="F13" s="34"/>
      <c r="G13" s="35">
        <v>8591.0400000000009</v>
      </c>
      <c r="H13" s="129">
        <v>17182.080000000002</v>
      </c>
      <c r="I13" s="46">
        <v>0</v>
      </c>
      <c r="J13" s="37">
        <f t="shared" si="0"/>
        <v>17182</v>
      </c>
      <c r="O13">
        <v>5</v>
      </c>
    </row>
    <row r="14" spans="1:17">
      <c r="A14" t="s">
        <v>55</v>
      </c>
      <c r="E14" s="33"/>
      <c r="F14" s="34"/>
      <c r="G14" s="35"/>
      <c r="H14" s="129"/>
      <c r="J14" s="37">
        <f t="shared" si="0"/>
        <v>0</v>
      </c>
      <c r="P14" s="3"/>
      <c r="Q14" s="12"/>
    </row>
    <row r="15" spans="1:17">
      <c r="A15" s="3" t="s">
        <v>56</v>
      </c>
      <c r="E15" s="33">
        <v>50</v>
      </c>
      <c r="F15" s="34"/>
      <c r="G15" s="35"/>
      <c r="H15" s="129">
        <v>50</v>
      </c>
      <c r="I15" s="46">
        <v>-0.5</v>
      </c>
      <c r="J15" s="37">
        <f t="shared" si="0"/>
        <v>25</v>
      </c>
      <c r="L15" s="41">
        <v>50</v>
      </c>
      <c r="M15" s="3"/>
    </row>
    <row r="16" spans="1:17">
      <c r="A16" t="s">
        <v>57</v>
      </c>
      <c r="E16" s="33">
        <v>300</v>
      </c>
      <c r="F16" s="34"/>
      <c r="G16" s="35">
        <v>170</v>
      </c>
      <c r="H16" s="129">
        <v>170</v>
      </c>
      <c r="I16" s="46">
        <v>0</v>
      </c>
      <c r="J16" s="37">
        <f t="shared" si="0"/>
        <v>300</v>
      </c>
      <c r="L16" s="41">
        <v>130</v>
      </c>
      <c r="M16" s="3" t="s">
        <v>91</v>
      </c>
      <c r="O16">
        <v>7</v>
      </c>
    </row>
    <row r="17" spans="1:17">
      <c r="A17" t="s">
        <v>58</v>
      </c>
      <c r="E17" s="33">
        <v>100</v>
      </c>
      <c r="F17" s="34"/>
      <c r="G17" s="35">
        <v>45.9</v>
      </c>
      <c r="H17" s="129">
        <v>45.9</v>
      </c>
      <c r="I17" s="46">
        <v>-0.5</v>
      </c>
      <c r="J17" s="37">
        <f t="shared" si="0"/>
        <v>50</v>
      </c>
      <c r="L17" s="41">
        <v>54.1</v>
      </c>
      <c r="M17" s="3" t="s">
        <v>115</v>
      </c>
    </row>
    <row r="18" spans="1:17">
      <c r="A18" t="s">
        <v>12</v>
      </c>
      <c r="E18" s="33">
        <v>625</v>
      </c>
      <c r="F18" s="34"/>
      <c r="G18" s="35">
        <v>562.07000000000005</v>
      </c>
      <c r="H18" s="129">
        <v>625</v>
      </c>
      <c r="I18" s="46">
        <v>0</v>
      </c>
      <c r="J18" s="37">
        <f t="shared" si="0"/>
        <v>625</v>
      </c>
      <c r="L18" s="40"/>
      <c r="M18" s="3" t="s">
        <v>21</v>
      </c>
      <c r="O18">
        <v>8</v>
      </c>
    </row>
    <row r="19" spans="1:17">
      <c r="A19" t="s">
        <v>13</v>
      </c>
      <c r="E19" s="33">
        <v>800</v>
      </c>
      <c r="F19" s="34"/>
      <c r="G19" s="35">
        <v>624.98</v>
      </c>
      <c r="H19" s="129">
        <v>800</v>
      </c>
      <c r="I19" s="46">
        <v>-1</v>
      </c>
      <c r="J19" s="37">
        <f t="shared" si="0"/>
        <v>0</v>
      </c>
      <c r="L19" s="41"/>
      <c r="M19" s="3"/>
      <c r="O19">
        <v>9</v>
      </c>
    </row>
    <row r="20" spans="1:17">
      <c r="A20" t="s">
        <v>14</v>
      </c>
      <c r="E20" s="33">
        <v>325</v>
      </c>
      <c r="F20" s="34"/>
      <c r="G20" s="35"/>
      <c r="H20" s="129">
        <v>325</v>
      </c>
      <c r="I20" s="46">
        <v>0</v>
      </c>
      <c r="J20" s="60">
        <f t="shared" si="0"/>
        <v>325</v>
      </c>
      <c r="L20" s="42"/>
      <c r="M20" s="3" t="s">
        <v>105</v>
      </c>
      <c r="O20">
        <v>10</v>
      </c>
    </row>
    <row r="21" spans="1:17">
      <c r="A21" t="s">
        <v>15</v>
      </c>
      <c r="E21" s="33">
        <v>50</v>
      </c>
      <c r="F21" s="34"/>
      <c r="G21" s="35">
        <v>20.100000000000001</v>
      </c>
      <c r="H21" s="129">
        <v>50</v>
      </c>
      <c r="I21" s="46">
        <v>0</v>
      </c>
      <c r="J21" s="37">
        <f t="shared" si="0"/>
        <v>50</v>
      </c>
      <c r="L21" s="41">
        <v>29.9</v>
      </c>
      <c r="M21" s="3"/>
      <c r="O21">
        <v>11</v>
      </c>
    </row>
    <row r="22" spans="1:17">
      <c r="A22" t="s">
        <v>16</v>
      </c>
      <c r="E22" s="33">
        <v>450</v>
      </c>
      <c r="F22" s="34"/>
      <c r="G22" s="35">
        <v>182.16</v>
      </c>
      <c r="H22" s="129">
        <v>320</v>
      </c>
      <c r="I22" s="46">
        <v>0</v>
      </c>
      <c r="J22" s="37">
        <f t="shared" si="0"/>
        <v>450</v>
      </c>
      <c r="L22" s="41">
        <v>267.83999999999997</v>
      </c>
      <c r="M22" s="3"/>
      <c r="O22">
        <v>12</v>
      </c>
      <c r="Q22" s="12"/>
    </row>
    <row r="23" spans="1:17" ht="15.75">
      <c r="D23" s="1" t="s">
        <v>18</v>
      </c>
      <c r="E23" s="29">
        <f>SUM(E8:E22)</f>
        <v>30532.45</v>
      </c>
      <c r="F23" s="26"/>
      <c r="G23" s="30">
        <f>SUM(G8:G22)</f>
        <v>17069.68</v>
      </c>
      <c r="H23" s="43">
        <f>SUM(H8:H22)</f>
        <v>30110.790000000005</v>
      </c>
      <c r="I23" s="64"/>
      <c r="J23" s="7">
        <f>SUM(J8:J22)</f>
        <v>29702.8999</v>
      </c>
      <c r="L23" s="43">
        <f>SUM(L8:L22)</f>
        <v>731.83999999999992</v>
      </c>
      <c r="P23" s="19">
        <f>(J23/E23)-1</f>
        <v>-2.7169457413342202E-2</v>
      </c>
      <c r="Q23" s="20" t="s">
        <v>118</v>
      </c>
    </row>
    <row r="24" spans="1:17">
      <c r="E24" s="26"/>
      <c r="F24" s="26"/>
      <c r="G24" s="26"/>
      <c r="I24" s="63"/>
      <c r="J24" s="4"/>
      <c r="L24" s="41"/>
      <c r="M24" s="5"/>
      <c r="N24" s="5"/>
    </row>
    <row r="25" spans="1:17">
      <c r="A25" s="1" t="s">
        <v>5</v>
      </c>
      <c r="E25" s="26"/>
      <c r="F25" s="26"/>
      <c r="G25" s="26"/>
      <c r="I25" s="63"/>
      <c r="J25" s="4"/>
      <c r="L25" s="41"/>
      <c r="M25" s="5"/>
      <c r="N25" s="5"/>
    </row>
    <row r="26" spans="1:17" ht="27.75" customHeight="1">
      <c r="A26" t="s">
        <v>26</v>
      </c>
      <c r="E26" s="33">
        <v>3000</v>
      </c>
      <c r="F26" s="34"/>
      <c r="G26" s="35">
        <v>2521.4</v>
      </c>
      <c r="H26" s="129">
        <v>3000</v>
      </c>
      <c r="I26" s="46">
        <v>-0.25</v>
      </c>
      <c r="J26" s="37">
        <f t="shared" ref="J26:J33" si="1">E26*(1+I26)</f>
        <v>2250</v>
      </c>
      <c r="O26">
        <v>13</v>
      </c>
      <c r="Q26" s="12"/>
    </row>
    <row r="27" spans="1:17">
      <c r="A27" t="s">
        <v>27</v>
      </c>
      <c r="E27" s="33">
        <v>850</v>
      </c>
      <c r="F27" s="34"/>
      <c r="G27" s="35">
        <v>90</v>
      </c>
      <c r="H27" s="129">
        <v>850</v>
      </c>
      <c r="I27" s="46">
        <v>-0.1</v>
      </c>
      <c r="J27" s="37">
        <f t="shared" si="1"/>
        <v>765</v>
      </c>
      <c r="L27" s="41"/>
      <c r="O27">
        <v>14</v>
      </c>
    </row>
    <row r="28" spans="1:17">
      <c r="A28" t="s">
        <v>28</v>
      </c>
      <c r="E28" s="33"/>
      <c r="F28" s="34"/>
      <c r="G28" s="35"/>
      <c r="H28" s="129"/>
      <c r="I28" s="46" t="s">
        <v>121</v>
      </c>
      <c r="J28" s="37" t="s">
        <v>121</v>
      </c>
    </row>
    <row r="29" spans="1:17">
      <c r="A29" t="s">
        <v>6</v>
      </c>
      <c r="E29" s="33">
        <v>2000</v>
      </c>
      <c r="F29" s="34"/>
      <c r="G29" s="35">
        <v>665</v>
      </c>
      <c r="H29" s="129">
        <v>1200</v>
      </c>
      <c r="I29" s="46">
        <v>-0.5</v>
      </c>
      <c r="J29" s="37">
        <f t="shared" si="1"/>
        <v>1000</v>
      </c>
      <c r="L29" s="44">
        <f>E29-H29</f>
        <v>800</v>
      </c>
      <c r="M29" s="3" t="s">
        <v>113</v>
      </c>
      <c r="O29">
        <v>15</v>
      </c>
    </row>
    <row r="30" spans="1:17">
      <c r="A30" t="s">
        <v>7</v>
      </c>
      <c r="E30" s="33">
        <v>0</v>
      </c>
      <c r="F30" s="34"/>
      <c r="G30" s="35"/>
      <c r="H30" s="129"/>
      <c r="J30" s="37">
        <f t="shared" si="1"/>
        <v>0</v>
      </c>
    </row>
    <row r="31" spans="1:17">
      <c r="A31" t="s">
        <v>29</v>
      </c>
      <c r="E31" s="33">
        <v>325</v>
      </c>
      <c r="F31" s="34"/>
      <c r="G31" s="35">
        <v>325</v>
      </c>
      <c r="H31" s="129">
        <v>325</v>
      </c>
      <c r="I31" s="46">
        <v>0</v>
      </c>
      <c r="J31" s="37">
        <f t="shared" si="1"/>
        <v>325</v>
      </c>
    </row>
    <row r="32" spans="1:17">
      <c r="A32" t="s">
        <v>30</v>
      </c>
      <c r="E32" s="33">
        <v>3000</v>
      </c>
      <c r="F32" s="34"/>
      <c r="G32" s="35">
        <v>561</v>
      </c>
      <c r="H32" s="129">
        <v>1000</v>
      </c>
      <c r="I32" s="46">
        <v>0</v>
      </c>
      <c r="J32" s="37">
        <f t="shared" si="1"/>
        <v>3000</v>
      </c>
      <c r="L32" s="44">
        <f>E32-H32</f>
        <v>2000</v>
      </c>
      <c r="M32" s="3" t="s">
        <v>116</v>
      </c>
      <c r="P32" s="12"/>
    </row>
    <row r="33" spans="1:17">
      <c r="A33" t="s">
        <v>31</v>
      </c>
      <c r="E33" s="33">
        <v>840</v>
      </c>
      <c r="F33" s="34"/>
      <c r="G33" s="35">
        <v>560</v>
      </c>
      <c r="H33" s="129">
        <v>840</v>
      </c>
      <c r="I33" s="46">
        <v>0</v>
      </c>
      <c r="J33" s="37">
        <f t="shared" si="1"/>
        <v>840</v>
      </c>
      <c r="M33" s="3" t="s">
        <v>23</v>
      </c>
      <c r="O33">
        <v>16</v>
      </c>
    </row>
    <row r="34" spans="1:17" s="48" customFormat="1" ht="31.5" customHeight="1">
      <c r="D34" s="48" t="s">
        <v>18</v>
      </c>
      <c r="E34" s="49">
        <f>SUM(E26:E33)</f>
        <v>10015</v>
      </c>
      <c r="F34" s="50"/>
      <c r="G34" s="51">
        <f>SUM(G26:G33)</f>
        <v>4722.3999999999996</v>
      </c>
      <c r="H34" s="53">
        <f>SUM(H26:H33)</f>
        <v>7215</v>
      </c>
      <c r="I34" s="64"/>
      <c r="J34" s="52">
        <f>SUM(J26:J33)</f>
        <v>8180</v>
      </c>
      <c r="L34" s="53">
        <f>SUM(L26:L33)</f>
        <v>2800</v>
      </c>
      <c r="P34" s="58">
        <f>(J34/E34)-1</f>
        <v>-0.18322516225661512</v>
      </c>
      <c r="Q34" s="59" t="s">
        <v>118</v>
      </c>
    </row>
    <row r="35" spans="1:17">
      <c r="E35" s="31"/>
      <c r="F35" s="26"/>
      <c r="G35" s="30"/>
      <c r="H35" s="43"/>
      <c r="I35" s="64"/>
      <c r="J35" s="6"/>
      <c r="L35" s="43"/>
    </row>
    <row r="36" spans="1:17">
      <c r="E36" s="31" t="s">
        <v>1</v>
      </c>
      <c r="F36" s="31"/>
      <c r="G36" s="31"/>
      <c r="I36" s="63"/>
      <c r="J36" s="1" t="s">
        <v>22</v>
      </c>
      <c r="K36" s="1"/>
    </row>
    <row r="37" spans="1:17">
      <c r="E37" s="31" t="s">
        <v>88</v>
      </c>
      <c r="F37" s="31"/>
      <c r="G37" s="32" t="s">
        <v>19</v>
      </c>
      <c r="H37" s="9" t="s">
        <v>20</v>
      </c>
      <c r="I37" s="64"/>
      <c r="J37" s="11" t="s">
        <v>99</v>
      </c>
      <c r="O37" s="11" t="s">
        <v>2</v>
      </c>
    </row>
    <row r="38" spans="1:17" ht="15" customHeight="1">
      <c r="A38" s="1" t="s">
        <v>8</v>
      </c>
      <c r="E38" s="26"/>
      <c r="F38" s="26"/>
      <c r="G38" s="28"/>
      <c r="H38" s="41"/>
      <c r="I38" s="63"/>
      <c r="J38" s="5"/>
      <c r="L38" s="41"/>
    </row>
    <row r="39" spans="1:17" ht="31.5" customHeight="1">
      <c r="A39" t="s">
        <v>32</v>
      </c>
      <c r="E39" s="27">
        <v>1169</v>
      </c>
      <c r="F39" s="26"/>
      <c r="G39" s="28">
        <v>593.13</v>
      </c>
      <c r="H39" s="41">
        <v>1169</v>
      </c>
      <c r="I39" s="46">
        <v>9.5000000000000001E-2</v>
      </c>
      <c r="J39" s="4">
        <f t="shared" ref="J39:J40" si="2">E39*(1+I39)</f>
        <v>1280.0550000000001</v>
      </c>
      <c r="M39" s="3" t="s">
        <v>80</v>
      </c>
      <c r="O39">
        <v>17</v>
      </c>
    </row>
    <row r="40" spans="1:17">
      <c r="A40" t="s">
        <v>33</v>
      </c>
      <c r="E40" s="27">
        <v>1041</v>
      </c>
      <c r="F40" s="26"/>
      <c r="G40" s="28">
        <v>725.97</v>
      </c>
      <c r="H40" s="41">
        <v>1041</v>
      </c>
      <c r="I40" s="46">
        <v>3.7999999999999999E-2</v>
      </c>
      <c r="J40" s="4">
        <f t="shared" si="2"/>
        <v>1080.558</v>
      </c>
      <c r="M40" s="3" t="s">
        <v>85</v>
      </c>
      <c r="O40">
        <v>18</v>
      </c>
      <c r="Q40" s="12"/>
    </row>
    <row r="41" spans="1:17" ht="15.75">
      <c r="D41" s="1" t="s">
        <v>18</v>
      </c>
      <c r="E41" s="29">
        <f>SUM(E39:E40)</f>
        <v>2210</v>
      </c>
      <c r="F41" s="26"/>
      <c r="G41" s="30">
        <f>SUM(G39:G40)</f>
        <v>1319.1</v>
      </c>
      <c r="H41" s="43">
        <f>SUM(H39:H40)</f>
        <v>2210</v>
      </c>
      <c r="I41" s="62"/>
      <c r="J41" s="6">
        <f>SUM(J39:J40)</f>
        <v>2360.6130000000003</v>
      </c>
      <c r="P41" s="21">
        <f>(J41/E41)-1</f>
        <v>6.8150678733031711E-2</v>
      </c>
      <c r="Q41" s="22" t="s">
        <v>118</v>
      </c>
    </row>
    <row r="42" spans="1:17" ht="12.75" customHeight="1">
      <c r="A42" s="1" t="s">
        <v>9</v>
      </c>
      <c r="E42" s="27"/>
      <c r="F42" s="26"/>
      <c r="G42" s="26"/>
      <c r="J42" s="4"/>
      <c r="L42" s="41"/>
      <c r="P42" s="5"/>
      <c r="Q42" s="5"/>
    </row>
    <row r="43" spans="1:17" ht="28.5" customHeight="1">
      <c r="A43" t="s">
        <v>101</v>
      </c>
      <c r="E43" s="27">
        <v>250</v>
      </c>
      <c r="F43" s="26"/>
      <c r="G43" s="27"/>
      <c r="H43" s="41">
        <v>100</v>
      </c>
      <c r="I43" s="46">
        <v>-0.5</v>
      </c>
      <c r="J43" s="4">
        <f t="shared" ref="J43:J46" si="3">E43*(1+I43)</f>
        <v>125</v>
      </c>
      <c r="L43" s="44">
        <f t="shared" ref="L43:L45" si="4">E43-H43</f>
        <v>150</v>
      </c>
      <c r="O43">
        <v>19</v>
      </c>
      <c r="P43" s="10"/>
      <c r="Q43" s="4"/>
    </row>
    <row r="44" spans="1:17">
      <c r="A44" t="s">
        <v>34</v>
      </c>
      <c r="D44" s="1"/>
      <c r="E44" s="27">
        <v>250</v>
      </c>
      <c r="F44" s="26"/>
      <c r="G44" s="28">
        <v>80</v>
      </c>
      <c r="H44" s="41">
        <v>120</v>
      </c>
      <c r="I44" s="46">
        <v>-0.5</v>
      </c>
      <c r="J44" s="4">
        <f t="shared" si="3"/>
        <v>125</v>
      </c>
      <c r="L44" s="44">
        <f t="shared" si="4"/>
        <v>130</v>
      </c>
      <c r="P44" s="3"/>
    </row>
    <row r="45" spans="1:17">
      <c r="A45" t="s">
        <v>10</v>
      </c>
      <c r="E45" s="27">
        <v>100</v>
      </c>
      <c r="F45" s="26"/>
      <c r="G45" s="28"/>
      <c r="H45" s="41">
        <v>25</v>
      </c>
      <c r="I45" s="46">
        <v>-0.5</v>
      </c>
      <c r="J45" s="4">
        <f t="shared" si="3"/>
        <v>50</v>
      </c>
      <c r="L45" s="44">
        <f t="shared" si="4"/>
        <v>75</v>
      </c>
      <c r="P45" s="3"/>
    </row>
    <row r="46" spans="1:17">
      <c r="A46" t="s">
        <v>11</v>
      </c>
      <c r="E46" s="27">
        <v>600</v>
      </c>
      <c r="F46" s="26"/>
      <c r="G46" s="28"/>
      <c r="H46" s="41">
        <v>600</v>
      </c>
      <c r="I46" s="46">
        <v>0</v>
      </c>
      <c r="J46" s="4">
        <f t="shared" si="3"/>
        <v>600</v>
      </c>
      <c r="L46" s="42"/>
      <c r="P46" s="10"/>
    </row>
    <row r="47" spans="1:17" ht="15.75">
      <c r="D47" s="1" t="s">
        <v>18</v>
      </c>
      <c r="E47" s="29">
        <f>SUM(E43:E46)</f>
        <v>1200</v>
      </c>
      <c r="F47" s="26"/>
      <c r="G47" s="30">
        <f>SUM(G43:G46)</f>
        <v>80</v>
      </c>
      <c r="H47" s="43">
        <f>SUM(H43:H46)</f>
        <v>845</v>
      </c>
      <c r="I47" s="64"/>
      <c r="J47" s="6">
        <f>SUM(J43:J46)</f>
        <v>900</v>
      </c>
      <c r="L47" s="43">
        <f>SUM(L43:L46)</f>
        <v>355</v>
      </c>
      <c r="P47" s="19">
        <f>(J47/E47)-1</f>
        <v>-0.25</v>
      </c>
      <c r="Q47" s="20" t="s">
        <v>118</v>
      </c>
    </row>
    <row r="48" spans="1:17">
      <c r="E48" s="27"/>
      <c r="F48" s="26"/>
      <c r="G48" s="26"/>
      <c r="I48" s="63"/>
      <c r="J48" s="4"/>
      <c r="L48" s="43"/>
      <c r="N48" s="5"/>
    </row>
    <row r="49" spans="1:17">
      <c r="A49" s="1" t="s">
        <v>25</v>
      </c>
      <c r="E49" s="27"/>
      <c r="F49" s="26"/>
      <c r="G49" s="26"/>
      <c r="I49" s="63"/>
      <c r="J49" s="4"/>
      <c r="L49" s="41"/>
      <c r="M49" s="5"/>
      <c r="N49" s="5"/>
    </row>
    <row r="50" spans="1:17" ht="21.75" customHeight="1">
      <c r="A50" s="3" t="s">
        <v>92</v>
      </c>
      <c r="E50" s="27">
        <v>150</v>
      </c>
      <c r="F50" s="26"/>
      <c r="G50" s="28">
        <v>120</v>
      </c>
      <c r="H50" s="41">
        <v>150</v>
      </c>
      <c r="I50" s="46">
        <v>0</v>
      </c>
      <c r="J50" s="4">
        <f t="shared" ref="J50:J55" si="5">E50*(1+I50)</f>
        <v>150</v>
      </c>
      <c r="L50" s="41"/>
      <c r="M50" s="3"/>
      <c r="Q50" s="12"/>
    </row>
    <row r="51" spans="1:17">
      <c r="A51" s="3" t="s">
        <v>48</v>
      </c>
      <c r="E51" s="27"/>
      <c r="F51" s="26"/>
      <c r="G51" s="28"/>
      <c r="H51" s="41"/>
      <c r="J51" s="38">
        <v>8000</v>
      </c>
      <c r="L51" s="41"/>
      <c r="M51" s="3" t="s">
        <v>106</v>
      </c>
      <c r="Q51" s="12"/>
    </row>
    <row r="52" spans="1:17">
      <c r="A52" s="3" t="s">
        <v>35</v>
      </c>
      <c r="E52" s="27"/>
      <c r="F52" s="26"/>
      <c r="G52" s="28"/>
      <c r="H52" s="41"/>
      <c r="J52" s="4">
        <f t="shared" si="5"/>
        <v>0</v>
      </c>
      <c r="L52" s="41"/>
      <c r="M52" s="3"/>
    </row>
    <row r="53" spans="1:17">
      <c r="A53" s="3" t="s">
        <v>49</v>
      </c>
      <c r="E53" s="27">
        <v>1000</v>
      </c>
      <c r="F53" s="26"/>
      <c r="G53" s="28">
        <v>322.51</v>
      </c>
      <c r="H53" s="41">
        <v>1000</v>
      </c>
      <c r="I53" s="46">
        <v>-1</v>
      </c>
      <c r="J53" s="4">
        <f t="shared" si="5"/>
        <v>0</v>
      </c>
      <c r="L53" s="44">
        <f t="shared" ref="L53:L54" si="6">E53-H53</f>
        <v>0</v>
      </c>
      <c r="M53" s="3"/>
      <c r="Q53" s="12"/>
    </row>
    <row r="54" spans="1:17">
      <c r="A54" s="3" t="s">
        <v>36</v>
      </c>
      <c r="E54" s="27">
        <v>1750</v>
      </c>
      <c r="F54" s="26"/>
      <c r="G54" s="28"/>
      <c r="H54" s="41">
        <v>1750</v>
      </c>
      <c r="I54" s="63">
        <v>-1</v>
      </c>
      <c r="J54" s="61">
        <f t="shared" si="5"/>
        <v>0</v>
      </c>
      <c r="L54" s="44">
        <f t="shared" si="6"/>
        <v>0</v>
      </c>
      <c r="M54" s="10" t="s">
        <v>93</v>
      </c>
      <c r="Q54" s="12"/>
    </row>
    <row r="55" spans="1:17">
      <c r="A55" s="3" t="s">
        <v>89</v>
      </c>
      <c r="E55" s="27"/>
      <c r="F55" s="26"/>
      <c r="G55" s="28"/>
      <c r="H55" s="41"/>
      <c r="I55" s="65"/>
      <c r="J55" s="4">
        <f t="shared" si="5"/>
        <v>0</v>
      </c>
      <c r="L55" s="42"/>
      <c r="M55" s="10" t="s">
        <v>107</v>
      </c>
      <c r="Q55" s="12"/>
    </row>
    <row r="56" spans="1:17" s="48" customFormat="1" ht="32.25" customHeight="1">
      <c r="B56" s="48" t="s">
        <v>17</v>
      </c>
      <c r="E56" s="49">
        <f>SUM(E50:E54)</f>
        <v>2900</v>
      </c>
      <c r="F56" s="50"/>
      <c r="G56" s="51">
        <f>SUM(G49:G54)</f>
        <v>442.51</v>
      </c>
      <c r="H56" s="53">
        <f>SUM(H50:H54)</f>
        <v>2900</v>
      </c>
      <c r="I56" s="64"/>
      <c r="J56" s="52">
        <f>SUM(J50:J55)</f>
        <v>8150</v>
      </c>
      <c r="L56" s="52">
        <f>SUM(L50:L55)</f>
        <v>0</v>
      </c>
      <c r="M56" s="3" t="s">
        <v>95</v>
      </c>
      <c r="P56" s="54">
        <f>(J56/E56)-1</f>
        <v>1.8103448275862069</v>
      </c>
      <c r="Q56" s="55" t="s">
        <v>118</v>
      </c>
    </row>
    <row r="57" spans="1:17">
      <c r="E57" s="4"/>
      <c r="G57" s="5"/>
      <c r="H57" s="41"/>
      <c r="I57" s="63"/>
      <c r="J57" s="6"/>
      <c r="L57" s="41"/>
    </row>
    <row r="58" spans="1:17">
      <c r="A58" s="1" t="s">
        <v>81</v>
      </c>
      <c r="E58" s="4"/>
      <c r="I58" s="63"/>
      <c r="J58" s="4"/>
      <c r="L58" s="41"/>
      <c r="M58" s="5"/>
    </row>
    <row r="59" spans="1:17" ht="24.75" customHeight="1">
      <c r="A59" s="3" t="s">
        <v>37</v>
      </c>
      <c r="E59" s="27">
        <v>47507.45</v>
      </c>
      <c r="G59" s="4">
        <f>SUM(G23+G34+G41+G47+G56)</f>
        <v>23633.69</v>
      </c>
      <c r="H59" s="41">
        <f>SUM(H23+H34+H41+H47+H56)</f>
        <v>43280.790000000008</v>
      </c>
      <c r="I59" s="63"/>
      <c r="J59" s="4">
        <f>SUM(J23+J34+J41+J47+J56)</f>
        <v>49293.512900000002</v>
      </c>
      <c r="L59" s="4">
        <f>SUM(L23+L34+L41+L47+L56)</f>
        <v>3886.84</v>
      </c>
      <c r="M59" s="3"/>
      <c r="O59">
        <v>20</v>
      </c>
    </row>
    <row r="60" spans="1:17">
      <c r="A60" s="3" t="s">
        <v>38</v>
      </c>
      <c r="E60" s="27">
        <v>750</v>
      </c>
      <c r="G60" s="4"/>
      <c r="H60" s="41"/>
      <c r="I60" s="63"/>
      <c r="J60" s="4">
        <v>0</v>
      </c>
      <c r="O60">
        <v>21</v>
      </c>
    </row>
    <row r="61" spans="1:17">
      <c r="A61" s="3" t="s">
        <v>61</v>
      </c>
      <c r="E61" s="27"/>
      <c r="G61" s="8"/>
      <c r="H61" s="41"/>
      <c r="I61" s="63"/>
      <c r="J61" s="4">
        <f>+L59</f>
        <v>3886.84</v>
      </c>
      <c r="L61" s="43"/>
      <c r="O61">
        <v>22</v>
      </c>
    </row>
    <row r="62" spans="1:17">
      <c r="A62" s="3" t="s">
        <v>60</v>
      </c>
      <c r="E62" s="27">
        <v>4632</v>
      </c>
      <c r="G62" s="8"/>
      <c r="H62" s="41"/>
      <c r="I62" s="63"/>
      <c r="J62" s="4">
        <f>SUM(L61)</f>
        <v>0</v>
      </c>
      <c r="L62" s="41"/>
    </row>
    <row r="63" spans="1:17" ht="15.75">
      <c r="A63" s="3" t="s">
        <v>39</v>
      </c>
      <c r="E63" s="27">
        <f>SUM(E59-(E60+E61+E62))</f>
        <v>42125.45</v>
      </c>
      <c r="G63" s="4"/>
      <c r="H63" s="41"/>
      <c r="I63" s="63"/>
      <c r="J63" s="4">
        <f>SUM(J59-(J60+J61+J62))</f>
        <v>45406.672900000005</v>
      </c>
      <c r="M63" s="23"/>
      <c r="N63" s="24"/>
      <c r="O63">
        <v>23</v>
      </c>
    </row>
    <row r="64" spans="1:17">
      <c r="A64" s="3"/>
      <c r="E64" s="27"/>
      <c r="G64" s="4"/>
      <c r="H64" s="41"/>
      <c r="I64" s="63"/>
      <c r="J64" s="4"/>
    </row>
    <row r="65" spans="1:15">
      <c r="A65" s="3"/>
      <c r="B65" t="s">
        <v>86</v>
      </c>
      <c r="E65" s="27">
        <v>1417.13</v>
      </c>
      <c r="G65" s="4"/>
      <c r="H65" s="41"/>
      <c r="I65" s="63"/>
      <c r="J65" s="4"/>
      <c r="M65" s="3" t="s">
        <v>108</v>
      </c>
      <c r="O65" s="14" t="s">
        <v>90</v>
      </c>
    </row>
    <row r="66" spans="1:15" s="48" customFormat="1" ht="27" customHeight="1">
      <c r="B66" s="48" t="s">
        <v>87</v>
      </c>
      <c r="E66" s="49">
        <v>40708.32</v>
      </c>
      <c r="G66" s="56"/>
      <c r="H66" s="53"/>
      <c r="I66" s="64"/>
      <c r="J66" s="56">
        <f>SUM(J63-J65)</f>
        <v>45406.672900000005</v>
      </c>
      <c r="L66" s="57"/>
      <c r="M66" s="54">
        <f>(J66/E66)-1</f>
        <v>0.11541505274597452</v>
      </c>
      <c r="N66" s="55" t="s">
        <v>118</v>
      </c>
    </row>
    <row r="67" spans="1:15">
      <c r="E67" s="4"/>
      <c r="I67" s="63"/>
      <c r="J67" s="4"/>
    </row>
    <row r="68" spans="1:15">
      <c r="A68" s="26" t="s">
        <v>41</v>
      </c>
      <c r="B68" s="26"/>
      <c r="C68" s="26"/>
      <c r="D68" s="27">
        <v>761.23</v>
      </c>
      <c r="E68" s="26"/>
      <c r="F68" s="27">
        <v>33798</v>
      </c>
      <c r="G68" s="26"/>
      <c r="H68" s="126" t="s">
        <v>24</v>
      </c>
      <c r="I68" s="66"/>
      <c r="J68" s="28">
        <v>44.4</v>
      </c>
      <c r="K68" s="26"/>
      <c r="L68" s="45">
        <f>F68/D68</f>
        <v>44.399196037991146</v>
      </c>
    </row>
    <row r="69" spans="1:15">
      <c r="A69" s="26" t="s">
        <v>42</v>
      </c>
      <c r="B69" s="26"/>
      <c r="C69" s="26"/>
      <c r="D69" s="27">
        <v>767.7</v>
      </c>
      <c r="E69" s="26"/>
      <c r="F69" s="27">
        <v>36754</v>
      </c>
      <c r="G69" s="26"/>
      <c r="H69" s="126" t="s">
        <v>24</v>
      </c>
      <c r="I69" s="66"/>
      <c r="J69" s="28">
        <v>48</v>
      </c>
      <c r="K69" s="26"/>
      <c r="L69" s="45">
        <f t="shared" ref="L69:L76" si="7">F69/D69</f>
        <v>47.875472189657415</v>
      </c>
    </row>
    <row r="70" spans="1:15">
      <c r="A70" s="26" t="s">
        <v>43</v>
      </c>
      <c r="B70" s="26"/>
      <c r="C70" s="26"/>
      <c r="D70" s="27">
        <v>767.62</v>
      </c>
      <c r="E70" s="26"/>
      <c r="F70" s="27">
        <v>36846</v>
      </c>
      <c r="G70" s="26"/>
      <c r="H70" s="126" t="s">
        <v>24</v>
      </c>
      <c r="I70" s="66"/>
      <c r="J70" s="28">
        <v>48</v>
      </c>
      <c r="K70" s="26"/>
      <c r="L70" s="45">
        <f t="shared" si="7"/>
        <v>48.000312654698938</v>
      </c>
    </row>
    <row r="71" spans="1:15">
      <c r="A71" s="26" t="s">
        <v>44</v>
      </c>
      <c r="B71" s="26"/>
      <c r="C71" s="26"/>
      <c r="D71" s="27">
        <v>765.25</v>
      </c>
      <c r="E71" s="26"/>
      <c r="F71" s="27">
        <v>36733</v>
      </c>
      <c r="G71" s="26"/>
      <c r="H71" s="126" t="s">
        <v>24</v>
      </c>
      <c r="I71" s="66"/>
      <c r="J71" s="28">
        <v>48</v>
      </c>
      <c r="K71" s="26"/>
      <c r="L71" s="45">
        <f t="shared" si="7"/>
        <v>48.001306762495915</v>
      </c>
    </row>
    <row r="72" spans="1:15">
      <c r="A72" s="26" t="s">
        <v>45</v>
      </c>
      <c r="B72" s="26"/>
      <c r="C72" s="26"/>
      <c r="D72" s="27">
        <v>772.2</v>
      </c>
      <c r="E72" s="26"/>
      <c r="F72" s="27">
        <v>33976</v>
      </c>
      <c r="G72" s="26"/>
      <c r="H72" s="126" t="s">
        <v>24</v>
      </c>
      <c r="I72" s="66"/>
      <c r="J72" s="28">
        <v>44</v>
      </c>
      <c r="K72" s="26"/>
      <c r="L72" s="45">
        <f t="shared" si="7"/>
        <v>43.998963998963994</v>
      </c>
    </row>
    <row r="73" spans="1:15">
      <c r="A73" s="26" t="s">
        <v>46</v>
      </c>
      <c r="B73" s="26"/>
      <c r="C73" s="26"/>
      <c r="D73" s="27">
        <v>771.2</v>
      </c>
      <c r="E73" s="26"/>
      <c r="F73" s="27">
        <v>33932</v>
      </c>
      <c r="G73" s="26"/>
      <c r="H73" s="126" t="s">
        <v>24</v>
      </c>
      <c r="I73" s="66"/>
      <c r="J73" s="28">
        <v>44</v>
      </c>
      <c r="K73" s="26"/>
      <c r="L73" s="45">
        <f t="shared" si="7"/>
        <v>43.998962655601659</v>
      </c>
    </row>
    <row r="74" spans="1:15">
      <c r="A74" s="26" t="s">
        <v>47</v>
      </c>
      <c r="B74" s="26"/>
      <c r="C74" s="26"/>
      <c r="D74" s="27">
        <v>767.7</v>
      </c>
      <c r="E74" s="26"/>
      <c r="F74" s="27">
        <v>37382.080000000002</v>
      </c>
      <c r="G74" s="26"/>
      <c r="H74" s="126" t="s">
        <v>24</v>
      </c>
      <c r="I74" s="66"/>
      <c r="J74" s="28">
        <v>48.69</v>
      </c>
      <c r="K74" s="26"/>
      <c r="L74" s="45">
        <f t="shared" si="7"/>
        <v>48.693604272502277</v>
      </c>
    </row>
    <row r="75" spans="1:15">
      <c r="A75" s="26" t="s">
        <v>40</v>
      </c>
      <c r="B75" s="26"/>
      <c r="C75" s="26"/>
      <c r="D75" s="27">
        <v>769.3</v>
      </c>
      <c r="E75" s="26"/>
      <c r="F75" s="27">
        <v>36926.400000000001</v>
      </c>
      <c r="G75" s="26"/>
      <c r="H75" s="126" t="s">
        <v>24</v>
      </c>
      <c r="I75" s="66"/>
      <c r="J75" s="28">
        <f>SUM(F75/D75)</f>
        <v>48.000000000000007</v>
      </c>
      <c r="K75" s="26"/>
      <c r="L75" s="45">
        <f t="shared" si="7"/>
        <v>48.000000000000007</v>
      </c>
    </row>
    <row r="76" spans="1:15">
      <c r="A76" s="26" t="s">
        <v>83</v>
      </c>
      <c r="B76" s="26"/>
      <c r="C76" s="26"/>
      <c r="D76" s="27">
        <v>767.7</v>
      </c>
      <c r="E76" s="26"/>
      <c r="F76" s="27">
        <v>37614.339999999997</v>
      </c>
      <c r="G76" s="26"/>
      <c r="H76" s="126" t="s">
        <v>24</v>
      </c>
      <c r="I76" s="66"/>
      <c r="J76" s="28">
        <f>SUM(F76/D76)</f>
        <v>48.996144327211141</v>
      </c>
      <c r="K76" s="26"/>
      <c r="L76" s="45">
        <f t="shared" si="7"/>
        <v>48.996144327211141</v>
      </c>
    </row>
    <row r="77" spans="1:15">
      <c r="A77" s="26" t="s">
        <v>94</v>
      </c>
      <c r="B77" s="26"/>
      <c r="C77" s="26"/>
      <c r="D77" s="27">
        <v>770.2</v>
      </c>
      <c r="E77" s="26"/>
      <c r="F77" s="27">
        <v>40708.32</v>
      </c>
      <c r="G77" s="26"/>
      <c r="H77" s="126" t="s">
        <v>24</v>
      </c>
      <c r="I77" s="66"/>
      <c r="J77" s="28">
        <f>F77/D77</f>
        <v>52.854219683199169</v>
      </c>
      <c r="L77" s="40"/>
      <c r="M77" s="16"/>
      <c r="N77" s="15"/>
    </row>
    <row r="78" spans="1:15" s="1" customFormat="1">
      <c r="A78" s="1" t="s">
        <v>102</v>
      </c>
      <c r="D78" s="7">
        <v>770.2</v>
      </c>
      <c r="F78" s="7">
        <f>SUM(J66)</f>
        <v>45406.672900000005</v>
      </c>
      <c r="H78" s="9" t="s">
        <v>24</v>
      </c>
      <c r="I78" s="64"/>
      <c r="J78" s="6">
        <f>F78/D78</f>
        <v>58.954392235782919</v>
      </c>
      <c r="L78" s="9" t="s">
        <v>97</v>
      </c>
      <c r="M78" s="17">
        <f>SUM((O78*100)/J78)</f>
        <v>10.347274089751695</v>
      </c>
      <c r="N78" s="18" t="s">
        <v>111</v>
      </c>
      <c r="O78" s="47">
        <f>SUM(J78-J77)</f>
        <v>6.10017255258375</v>
      </c>
    </row>
    <row r="79" spans="1:15">
      <c r="A79" s="3"/>
      <c r="D79" s="4"/>
      <c r="F79" s="8"/>
      <c r="H79" s="40"/>
      <c r="I79" s="63"/>
      <c r="J79" s="4"/>
    </row>
    <row r="80" spans="1:15">
      <c r="I80" s="63"/>
    </row>
    <row r="81" spans="1:9">
      <c r="A81" s="1" t="s">
        <v>62</v>
      </c>
      <c r="I81" s="63"/>
    </row>
    <row r="82" spans="1:9">
      <c r="I82" s="63"/>
    </row>
    <row r="83" spans="1:9">
      <c r="A83">
        <v>1</v>
      </c>
      <c r="B83" t="s">
        <v>103</v>
      </c>
      <c r="I83" s="63"/>
    </row>
    <row r="84" spans="1:9">
      <c r="I84" s="63"/>
    </row>
    <row r="85" spans="1:9">
      <c r="A85">
        <v>3</v>
      </c>
      <c r="B85" t="s">
        <v>63</v>
      </c>
      <c r="I85" s="63"/>
    </row>
    <row r="86" spans="1:9">
      <c r="A86">
        <v>4</v>
      </c>
      <c r="B86" t="s">
        <v>64</v>
      </c>
      <c r="I86" s="63"/>
    </row>
    <row r="87" spans="1:9">
      <c r="A87">
        <v>5</v>
      </c>
      <c r="B87" t="s">
        <v>65</v>
      </c>
      <c r="I87" s="63"/>
    </row>
    <row r="88" spans="1:9">
      <c r="B88" t="s">
        <v>114</v>
      </c>
      <c r="I88" s="63"/>
    </row>
    <row r="89" spans="1:9">
      <c r="I89" s="63"/>
    </row>
    <row r="90" spans="1:9">
      <c r="A90">
        <v>7</v>
      </c>
      <c r="B90" t="s">
        <v>66</v>
      </c>
      <c r="I90" s="63"/>
    </row>
    <row r="91" spans="1:9">
      <c r="A91">
        <v>8</v>
      </c>
      <c r="B91" s="3" t="s">
        <v>96</v>
      </c>
      <c r="G91" t="s">
        <v>112</v>
      </c>
      <c r="I91" s="63"/>
    </row>
    <row r="92" spans="1:9">
      <c r="A92">
        <v>9</v>
      </c>
      <c r="B92" t="s">
        <v>77</v>
      </c>
      <c r="I92" s="63"/>
    </row>
    <row r="93" spans="1:9">
      <c r="A93">
        <v>10</v>
      </c>
      <c r="B93" s="3" t="s">
        <v>67</v>
      </c>
      <c r="I93" s="63"/>
    </row>
    <row r="94" spans="1:9">
      <c r="A94">
        <v>11</v>
      </c>
      <c r="B94" t="s">
        <v>68</v>
      </c>
      <c r="I94" s="63"/>
    </row>
    <row r="95" spans="1:9">
      <c r="A95">
        <v>12</v>
      </c>
      <c r="B95" t="s">
        <v>69</v>
      </c>
      <c r="I95" s="63"/>
    </row>
    <row r="96" spans="1:9">
      <c r="A96">
        <v>13</v>
      </c>
      <c r="B96" t="s">
        <v>70</v>
      </c>
      <c r="I96" s="63"/>
    </row>
    <row r="97" spans="1:9">
      <c r="A97">
        <v>14</v>
      </c>
      <c r="B97" t="s">
        <v>71</v>
      </c>
      <c r="I97" s="63"/>
    </row>
    <row r="98" spans="1:9">
      <c r="A98">
        <v>15</v>
      </c>
      <c r="B98" t="s">
        <v>72</v>
      </c>
      <c r="I98" s="63"/>
    </row>
    <row r="99" spans="1:9">
      <c r="A99">
        <v>16</v>
      </c>
      <c r="B99" t="s">
        <v>73</v>
      </c>
      <c r="I99" s="63"/>
    </row>
    <row r="100" spans="1:9">
      <c r="A100">
        <v>17</v>
      </c>
      <c r="B100" s="3" t="s">
        <v>82</v>
      </c>
      <c r="I100" s="63"/>
    </row>
    <row r="101" spans="1:9">
      <c r="A101">
        <v>18</v>
      </c>
      <c r="B101" t="s">
        <v>78</v>
      </c>
      <c r="I101" s="63"/>
    </row>
    <row r="102" spans="1:9">
      <c r="A102">
        <v>19</v>
      </c>
      <c r="B102" t="s">
        <v>109</v>
      </c>
      <c r="I102" s="63"/>
    </row>
    <row r="103" spans="1:9">
      <c r="A103">
        <v>20</v>
      </c>
      <c r="B103" t="s">
        <v>74</v>
      </c>
      <c r="I103" s="63"/>
    </row>
    <row r="104" spans="1:9">
      <c r="A104">
        <v>21</v>
      </c>
      <c r="B104" t="s">
        <v>75</v>
      </c>
      <c r="I104" s="63"/>
    </row>
    <row r="105" spans="1:9">
      <c r="A105">
        <v>22</v>
      </c>
      <c r="B105" s="3" t="s">
        <v>84</v>
      </c>
      <c r="I105" s="63"/>
    </row>
    <row r="106" spans="1:9">
      <c r="A106">
        <v>23</v>
      </c>
      <c r="B106" t="s">
        <v>76</v>
      </c>
      <c r="I106" s="63"/>
    </row>
    <row r="107" spans="1:9">
      <c r="A107" s="14" t="s">
        <v>90</v>
      </c>
      <c r="B107" s="3" t="s">
        <v>110</v>
      </c>
      <c r="I107" s="63"/>
    </row>
    <row r="108" spans="1:9">
      <c r="A108">
        <v>24</v>
      </c>
      <c r="B108" s="3" t="s">
        <v>117</v>
      </c>
      <c r="I108" s="63"/>
    </row>
    <row r="109" spans="1:9">
      <c r="I109" s="63"/>
    </row>
    <row r="110" spans="1:9">
      <c r="I110" s="63"/>
    </row>
    <row r="111" spans="1:9">
      <c r="I111" s="63"/>
    </row>
    <row r="112" spans="1:9">
      <c r="I112" s="63"/>
    </row>
    <row r="113" spans="9:9">
      <c r="I113" s="63"/>
    </row>
    <row r="114" spans="9:9">
      <c r="I114" s="63"/>
    </row>
    <row r="115" spans="9:9">
      <c r="I115" s="63"/>
    </row>
    <row r="116" spans="9:9">
      <c r="I116" s="63"/>
    </row>
    <row r="117" spans="9:9">
      <c r="I117" s="63"/>
    </row>
    <row r="118" spans="9:9">
      <c r="I118" s="63"/>
    </row>
    <row r="119" spans="9:9">
      <c r="I119" s="63"/>
    </row>
    <row r="120" spans="9:9">
      <c r="I120" s="63"/>
    </row>
  </sheetData>
  <phoneticPr fontId="0" type="noConversion"/>
  <printOptions gridLines="1"/>
  <pageMargins left="0.19685039370078741" right="0.19685039370078741" top="0.35433070866141736" bottom="0.35433070866141736" header="0.19685039370078741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2" sqref="A82:XFD82"/>
    </sheetView>
  </sheetViews>
  <sheetFormatPr defaultRowHeight="14.25"/>
  <cols>
    <col min="1" max="1" width="33.7109375" customWidth="1"/>
    <col min="5" max="5" width="13.140625" style="84" customWidth="1"/>
    <col min="6" max="6" width="14.7109375" customWidth="1"/>
    <col min="7" max="8" width="18.28515625" style="12" customWidth="1"/>
    <col min="9" max="9" width="20.140625" customWidth="1"/>
    <col min="10" max="10" width="10.7109375" style="160" customWidth="1"/>
    <col min="11" max="11" width="16.28515625" style="111" customWidth="1"/>
    <col min="12" max="12" width="19.5703125" style="39" customWidth="1"/>
    <col min="13" max="13" width="14.42578125" customWidth="1"/>
    <col min="14" max="14" width="9.140625" customWidth="1"/>
    <col min="15" max="15" width="30.42578125" customWidth="1"/>
    <col min="16" max="16" width="7.5703125" customWidth="1"/>
  </cols>
  <sheetData>
    <row r="1" spans="1:20">
      <c r="A1" s="1" t="s">
        <v>0</v>
      </c>
      <c r="E1" s="96" t="s">
        <v>123</v>
      </c>
      <c r="F1" s="1"/>
      <c r="G1" s="101"/>
      <c r="H1" s="101"/>
      <c r="J1" s="65"/>
      <c r="M1" s="39"/>
    </row>
    <row r="2" spans="1:20">
      <c r="J2" s="65"/>
      <c r="M2" s="39"/>
    </row>
    <row r="3" spans="1:20" ht="15">
      <c r="E3" s="96" t="s">
        <v>1</v>
      </c>
      <c r="F3" s="31"/>
      <c r="G3" s="101"/>
      <c r="H3" s="101"/>
      <c r="J3" s="156" t="s">
        <v>128</v>
      </c>
      <c r="K3" s="48" t="s">
        <v>22</v>
      </c>
      <c r="L3" s="9"/>
      <c r="M3" s="39"/>
    </row>
    <row r="4" spans="1:20" ht="15">
      <c r="E4" s="96" t="s">
        <v>99</v>
      </c>
      <c r="F4" s="31"/>
      <c r="G4" s="103" t="s">
        <v>19</v>
      </c>
      <c r="H4" s="103"/>
      <c r="I4" s="1" t="s">
        <v>20</v>
      </c>
      <c r="J4" s="156" t="s">
        <v>120</v>
      </c>
      <c r="K4" s="112" t="s">
        <v>124</v>
      </c>
      <c r="M4" s="9" t="s">
        <v>79</v>
      </c>
      <c r="P4" s="11" t="s">
        <v>2</v>
      </c>
    </row>
    <row r="5" spans="1:20">
      <c r="A5" s="1" t="s">
        <v>3</v>
      </c>
      <c r="B5" s="1"/>
      <c r="F5" s="26"/>
      <c r="J5" s="65"/>
      <c r="K5" s="113"/>
      <c r="M5" s="39"/>
    </row>
    <row r="6" spans="1:20">
      <c r="F6" s="26"/>
      <c r="J6" s="65"/>
      <c r="M6" s="39"/>
    </row>
    <row r="7" spans="1:20">
      <c r="A7" s="1" t="s">
        <v>4</v>
      </c>
      <c r="F7" s="26"/>
      <c r="J7" s="65"/>
      <c r="M7" s="39"/>
    </row>
    <row r="8" spans="1:20" s="90" customFormat="1" ht="15">
      <c r="A8" s="90" t="s">
        <v>50</v>
      </c>
      <c r="D8" s="91"/>
      <c r="E8" s="97">
        <v>7685</v>
      </c>
      <c r="F8" s="92"/>
      <c r="G8" s="104">
        <v>4520.4399999999996</v>
      </c>
      <c r="H8" s="104"/>
      <c r="I8" s="93">
        <v>7685</v>
      </c>
      <c r="J8" s="65">
        <f>1-(12/15)</f>
        <v>0.19999999999999996</v>
      </c>
      <c r="K8" s="114">
        <f>I8*(1+J8)</f>
        <v>9222</v>
      </c>
      <c r="L8" s="123">
        <f>K8-I8</f>
        <v>1537</v>
      </c>
      <c r="M8" s="94"/>
      <c r="N8" s="89" t="s">
        <v>125</v>
      </c>
      <c r="P8" s="90">
        <v>1</v>
      </c>
      <c r="R8" s="89"/>
      <c r="T8" s="38">
        <f>+L8</f>
        <v>1537</v>
      </c>
    </row>
    <row r="9" spans="1:20">
      <c r="A9" t="s">
        <v>59</v>
      </c>
      <c r="E9" s="98">
        <v>555</v>
      </c>
      <c r="F9" s="34"/>
      <c r="G9" s="105">
        <v>346.11</v>
      </c>
      <c r="H9" s="105"/>
      <c r="I9" s="36">
        <v>555</v>
      </c>
      <c r="J9" s="65">
        <v>0</v>
      </c>
      <c r="K9" s="115">
        <f t="shared" ref="K9:K22" si="0">I9*(1+J9)</f>
        <v>555</v>
      </c>
      <c r="L9" s="86">
        <f t="shared" ref="L9:L23" si="1">K9-I9</f>
        <v>0</v>
      </c>
      <c r="M9" s="39"/>
      <c r="T9" s="61">
        <f t="shared" ref="T9:T23" si="2">+L9</f>
        <v>0</v>
      </c>
    </row>
    <row r="10" spans="1:20">
      <c r="A10" t="s">
        <v>51</v>
      </c>
      <c r="E10" s="98">
        <v>600</v>
      </c>
      <c r="F10" s="34"/>
      <c r="G10" s="105">
        <v>744.47</v>
      </c>
      <c r="H10" s="105"/>
      <c r="I10" s="36">
        <v>450</v>
      </c>
      <c r="J10" s="65">
        <v>0</v>
      </c>
      <c r="K10" s="115">
        <f t="shared" si="0"/>
        <v>450</v>
      </c>
      <c r="L10" s="86">
        <f t="shared" si="1"/>
        <v>0</v>
      </c>
      <c r="M10" s="41"/>
      <c r="T10" s="61">
        <f t="shared" si="2"/>
        <v>0</v>
      </c>
    </row>
    <row r="11" spans="1:20">
      <c r="A11" t="s">
        <v>52</v>
      </c>
      <c r="E11" s="98">
        <v>480</v>
      </c>
      <c r="F11" s="34"/>
      <c r="G11" s="105">
        <v>465</v>
      </c>
      <c r="H11" s="105"/>
      <c r="I11" s="36">
        <v>480</v>
      </c>
      <c r="J11" s="65">
        <v>0</v>
      </c>
      <c r="K11" s="115">
        <f t="shared" si="0"/>
        <v>480</v>
      </c>
      <c r="L11" s="86">
        <f t="shared" si="1"/>
        <v>0</v>
      </c>
      <c r="M11" s="41"/>
      <c r="P11">
        <v>3</v>
      </c>
      <c r="T11" s="61">
        <f t="shared" si="2"/>
        <v>0</v>
      </c>
    </row>
    <row r="12" spans="1:20">
      <c r="A12" t="s">
        <v>53</v>
      </c>
      <c r="E12" s="98">
        <v>1375</v>
      </c>
      <c r="F12" s="34"/>
      <c r="G12" s="105">
        <v>1428.98</v>
      </c>
      <c r="H12" s="105"/>
      <c r="I12" s="36">
        <v>1375</v>
      </c>
      <c r="J12" s="65">
        <v>0</v>
      </c>
      <c r="K12" s="115">
        <f t="shared" si="0"/>
        <v>1375</v>
      </c>
      <c r="L12" s="86">
        <f t="shared" si="1"/>
        <v>0</v>
      </c>
      <c r="M12" s="39"/>
      <c r="P12">
        <v>4</v>
      </c>
      <c r="T12" s="61">
        <f t="shared" si="2"/>
        <v>0</v>
      </c>
    </row>
    <row r="13" spans="1:20">
      <c r="A13" t="s">
        <v>54</v>
      </c>
      <c r="E13" s="98">
        <v>17182.080000000002</v>
      </c>
      <c r="F13" s="34"/>
      <c r="G13" s="105">
        <v>8591.0400000000009</v>
      </c>
      <c r="H13" s="105"/>
      <c r="I13" s="36">
        <v>17182</v>
      </c>
      <c r="J13" s="65">
        <v>0</v>
      </c>
      <c r="K13" s="115">
        <f t="shared" si="0"/>
        <v>17182</v>
      </c>
      <c r="L13" s="86">
        <f t="shared" si="1"/>
        <v>0</v>
      </c>
      <c r="M13" s="39"/>
      <c r="P13">
        <v>5</v>
      </c>
      <c r="T13" s="61">
        <f t="shared" si="2"/>
        <v>0</v>
      </c>
    </row>
    <row r="14" spans="1:20">
      <c r="A14" t="s">
        <v>55</v>
      </c>
      <c r="E14" s="98"/>
      <c r="F14" s="34"/>
      <c r="G14" s="105">
        <v>0</v>
      </c>
      <c r="H14" s="105"/>
      <c r="I14" s="36"/>
      <c r="J14" s="65"/>
      <c r="K14" s="115">
        <f t="shared" si="0"/>
        <v>0</v>
      </c>
      <c r="L14" s="86">
        <f t="shared" si="1"/>
        <v>0</v>
      </c>
      <c r="M14" s="39"/>
      <c r="Q14" s="3"/>
      <c r="R14" s="12"/>
      <c r="T14" s="61">
        <f t="shared" si="2"/>
        <v>0</v>
      </c>
    </row>
    <row r="15" spans="1:20">
      <c r="A15" s="3" t="s">
        <v>56</v>
      </c>
      <c r="E15" s="98">
        <v>25</v>
      </c>
      <c r="F15" s="34"/>
      <c r="G15" s="105">
        <v>0</v>
      </c>
      <c r="H15" s="105"/>
      <c r="I15" s="36">
        <v>25</v>
      </c>
      <c r="J15" s="65">
        <v>0</v>
      </c>
      <c r="K15" s="115">
        <f t="shared" si="0"/>
        <v>25</v>
      </c>
      <c r="L15" s="86">
        <f t="shared" si="1"/>
        <v>0</v>
      </c>
      <c r="M15" s="41"/>
      <c r="N15" s="3"/>
      <c r="T15" s="61">
        <f t="shared" si="2"/>
        <v>0</v>
      </c>
    </row>
    <row r="16" spans="1:20">
      <c r="A16" t="s">
        <v>57</v>
      </c>
      <c r="E16" s="98">
        <v>300</v>
      </c>
      <c r="F16" s="34"/>
      <c r="G16" s="105">
        <v>110</v>
      </c>
      <c r="H16" s="105"/>
      <c r="I16" s="36">
        <v>300</v>
      </c>
      <c r="J16" s="65">
        <v>0</v>
      </c>
      <c r="K16" s="115">
        <f t="shared" si="0"/>
        <v>300</v>
      </c>
      <c r="L16" s="86">
        <f t="shared" si="1"/>
        <v>0</v>
      </c>
      <c r="M16" s="41"/>
      <c r="N16" s="3" t="s">
        <v>91</v>
      </c>
      <c r="P16">
        <v>7</v>
      </c>
      <c r="T16" s="61">
        <f t="shared" si="2"/>
        <v>0</v>
      </c>
    </row>
    <row r="17" spans="1:20">
      <c r="A17" t="s">
        <v>58</v>
      </c>
      <c r="E17" s="98">
        <v>50</v>
      </c>
      <c r="F17" s="34"/>
      <c r="G17" s="105">
        <v>0</v>
      </c>
      <c r="H17" s="105"/>
      <c r="I17" s="36">
        <v>50</v>
      </c>
      <c r="J17" s="65">
        <v>0</v>
      </c>
      <c r="K17" s="115">
        <f t="shared" si="0"/>
        <v>50</v>
      </c>
      <c r="L17" s="86">
        <f t="shared" si="1"/>
        <v>0</v>
      </c>
      <c r="M17" s="41"/>
      <c r="N17" s="3" t="s">
        <v>115</v>
      </c>
      <c r="T17" s="61">
        <f t="shared" si="2"/>
        <v>0</v>
      </c>
    </row>
    <row r="18" spans="1:20">
      <c r="A18" t="s">
        <v>12</v>
      </c>
      <c r="E18" s="98">
        <v>625</v>
      </c>
      <c r="F18" s="34"/>
      <c r="G18" s="105">
        <v>558.16</v>
      </c>
      <c r="H18" s="105"/>
      <c r="I18" s="36">
        <v>625</v>
      </c>
      <c r="J18" s="65">
        <v>0</v>
      </c>
      <c r="K18" s="115">
        <f t="shared" si="0"/>
        <v>625</v>
      </c>
      <c r="L18" s="86">
        <f t="shared" si="1"/>
        <v>0</v>
      </c>
      <c r="M18" s="40"/>
      <c r="N18" s="3" t="s">
        <v>21</v>
      </c>
      <c r="P18">
        <v>8</v>
      </c>
      <c r="T18" s="61">
        <f t="shared" si="2"/>
        <v>0</v>
      </c>
    </row>
    <row r="19" spans="1:20">
      <c r="A19" t="s">
        <v>13</v>
      </c>
      <c r="E19" s="98">
        <v>0</v>
      </c>
      <c r="F19" s="34"/>
      <c r="G19" s="105">
        <v>0</v>
      </c>
      <c r="H19" s="105"/>
      <c r="I19" s="36">
        <v>0</v>
      </c>
      <c r="J19" s="65">
        <v>0</v>
      </c>
      <c r="K19" s="115">
        <f t="shared" si="0"/>
        <v>0</v>
      </c>
      <c r="L19" s="86">
        <f t="shared" si="1"/>
        <v>0</v>
      </c>
      <c r="M19" s="41"/>
      <c r="N19" s="3"/>
      <c r="P19">
        <v>9</v>
      </c>
      <c r="T19" s="61">
        <f t="shared" si="2"/>
        <v>0</v>
      </c>
    </row>
    <row r="20" spans="1:20">
      <c r="A20" t="s">
        <v>14</v>
      </c>
      <c r="E20" s="98">
        <v>325</v>
      </c>
      <c r="F20" s="34"/>
      <c r="G20" s="105"/>
      <c r="H20" s="105"/>
      <c r="I20" s="36">
        <v>325</v>
      </c>
      <c r="J20" s="65">
        <v>0</v>
      </c>
      <c r="K20" s="115">
        <f t="shared" si="0"/>
        <v>325</v>
      </c>
      <c r="L20" s="86">
        <f t="shared" si="1"/>
        <v>0</v>
      </c>
      <c r="M20" s="42"/>
      <c r="N20" s="3" t="s">
        <v>105</v>
      </c>
      <c r="P20">
        <v>10</v>
      </c>
      <c r="T20" s="61">
        <f t="shared" si="2"/>
        <v>0</v>
      </c>
    </row>
    <row r="21" spans="1:20">
      <c r="A21" t="s">
        <v>15</v>
      </c>
      <c r="E21" s="98">
        <v>50</v>
      </c>
      <c r="F21" s="34"/>
      <c r="G21" s="105">
        <v>17</v>
      </c>
      <c r="H21" s="105"/>
      <c r="I21" s="36">
        <v>50</v>
      </c>
      <c r="J21" s="65">
        <v>0</v>
      </c>
      <c r="K21" s="115">
        <f t="shared" si="0"/>
        <v>50</v>
      </c>
      <c r="L21" s="86">
        <f t="shared" si="1"/>
        <v>0</v>
      </c>
      <c r="M21" s="41"/>
      <c r="N21" s="3"/>
      <c r="P21">
        <v>11</v>
      </c>
      <c r="T21" s="61">
        <f t="shared" si="2"/>
        <v>0</v>
      </c>
    </row>
    <row r="22" spans="1:20">
      <c r="A22" t="s">
        <v>16</v>
      </c>
      <c r="E22" s="98">
        <v>450</v>
      </c>
      <c r="F22" s="34"/>
      <c r="G22" s="105">
        <v>131</v>
      </c>
      <c r="H22" s="105"/>
      <c r="I22" s="36">
        <v>450</v>
      </c>
      <c r="J22" s="65">
        <v>0</v>
      </c>
      <c r="K22" s="115">
        <f t="shared" si="0"/>
        <v>450</v>
      </c>
      <c r="L22" s="86">
        <f t="shared" si="1"/>
        <v>0</v>
      </c>
      <c r="M22" s="41"/>
      <c r="N22" s="3"/>
      <c r="P22">
        <v>12</v>
      </c>
      <c r="R22" s="12"/>
      <c r="T22" s="61">
        <f t="shared" si="2"/>
        <v>0</v>
      </c>
    </row>
    <row r="23" spans="1:20" s="67" customFormat="1" ht="15">
      <c r="A23" s="72" t="s">
        <v>130</v>
      </c>
      <c r="E23" s="99"/>
      <c r="F23" s="68"/>
      <c r="G23" s="106"/>
      <c r="H23" s="106"/>
      <c r="I23" s="69"/>
      <c r="J23" s="70"/>
      <c r="K23" s="116">
        <v>400</v>
      </c>
      <c r="L23" s="124">
        <f t="shared" si="1"/>
        <v>400</v>
      </c>
      <c r="M23" s="78"/>
      <c r="N23" s="72"/>
      <c r="R23" s="73"/>
      <c r="T23" s="128">
        <f t="shared" si="2"/>
        <v>400</v>
      </c>
    </row>
    <row r="24" spans="1:20" s="139" customFormat="1" ht="34.5" customHeight="1">
      <c r="D24" s="130" t="s">
        <v>18</v>
      </c>
      <c r="E24" s="131">
        <f>SUM(E8:E23)</f>
        <v>29702.080000000002</v>
      </c>
      <c r="F24" s="140"/>
      <c r="G24" s="133">
        <f>SUM(G8:G23)</f>
        <v>16912.2</v>
      </c>
      <c r="H24" s="133"/>
      <c r="I24" s="134">
        <f>SUM(I8:I23)</f>
        <v>29552</v>
      </c>
      <c r="J24" s="157"/>
      <c r="K24" s="121">
        <f>SUM(K8:K23)</f>
        <v>31489</v>
      </c>
      <c r="L24" s="141"/>
      <c r="M24" s="136">
        <f>SUM(M8:M22)</f>
        <v>0</v>
      </c>
      <c r="Q24" s="137">
        <f>(K24/E24)-1</f>
        <v>6.0161443238991863E-2</v>
      </c>
      <c r="R24" s="130" t="s">
        <v>118</v>
      </c>
      <c r="T24" s="142"/>
    </row>
    <row r="25" spans="1:20">
      <c r="F25" s="26"/>
      <c r="J25" s="65"/>
      <c r="K25" s="115"/>
      <c r="M25" s="41"/>
      <c r="N25" s="5"/>
      <c r="O25" s="5"/>
      <c r="T25" s="25"/>
    </row>
    <row r="26" spans="1:20">
      <c r="A26" s="1" t="s">
        <v>5</v>
      </c>
      <c r="F26" s="26"/>
      <c r="J26" s="65"/>
      <c r="K26" s="115"/>
      <c r="M26" s="41"/>
      <c r="N26" s="5"/>
      <c r="O26" s="5"/>
      <c r="T26" s="25"/>
    </row>
    <row r="27" spans="1:20">
      <c r="A27" t="s">
        <v>26</v>
      </c>
      <c r="E27" s="98">
        <v>2250</v>
      </c>
      <c r="F27" s="34"/>
      <c r="G27" s="105">
        <v>1853.2</v>
      </c>
      <c r="H27" s="105"/>
      <c r="I27" s="36">
        <v>2250</v>
      </c>
      <c r="J27" s="65">
        <v>0</v>
      </c>
      <c r="K27" s="115">
        <f t="shared" ref="K27:K32" si="3">I27*(1+J27)</f>
        <v>2250</v>
      </c>
      <c r="L27" s="86">
        <f t="shared" ref="L27:L36" si="4">K27-I27</f>
        <v>0</v>
      </c>
      <c r="M27" s="39"/>
      <c r="P27">
        <v>13</v>
      </c>
      <c r="R27" s="12"/>
      <c r="T27" s="61">
        <f t="shared" ref="T27:T34" si="5">+L27</f>
        <v>0</v>
      </c>
    </row>
    <row r="28" spans="1:20">
      <c r="A28" t="s">
        <v>27</v>
      </c>
      <c r="E28" s="98">
        <v>765</v>
      </c>
      <c r="F28" s="34"/>
      <c r="G28" s="105">
        <v>900</v>
      </c>
      <c r="H28" s="105"/>
      <c r="I28" s="36">
        <v>900</v>
      </c>
      <c r="J28" s="65">
        <v>0</v>
      </c>
      <c r="K28" s="115">
        <f>I28*(1+J28)</f>
        <v>900</v>
      </c>
      <c r="L28" s="86">
        <f t="shared" si="4"/>
        <v>0</v>
      </c>
      <c r="M28" s="41"/>
      <c r="P28">
        <v>14</v>
      </c>
      <c r="T28" s="61">
        <f t="shared" si="5"/>
        <v>0</v>
      </c>
    </row>
    <row r="29" spans="1:20">
      <c r="A29" t="s">
        <v>28</v>
      </c>
      <c r="E29" s="98"/>
      <c r="F29" s="34"/>
      <c r="G29" s="105"/>
      <c r="H29" s="105"/>
      <c r="I29" s="36"/>
      <c r="J29" s="65" t="s">
        <v>121</v>
      </c>
      <c r="K29" s="115" t="s">
        <v>121</v>
      </c>
      <c r="L29" s="86" t="s">
        <v>121</v>
      </c>
      <c r="M29" s="39"/>
      <c r="T29" s="61" t="str">
        <f t="shared" si="5"/>
        <v xml:space="preserve"> </v>
      </c>
    </row>
    <row r="30" spans="1:20">
      <c r="A30" t="s">
        <v>6</v>
      </c>
      <c r="E30" s="98">
        <v>1000</v>
      </c>
      <c r="F30" s="34"/>
      <c r="G30" s="105">
        <v>627</v>
      </c>
      <c r="H30" s="105"/>
      <c r="I30" s="36">
        <v>1000</v>
      </c>
      <c r="J30" s="65">
        <v>-0.25</v>
      </c>
      <c r="K30" s="115">
        <f t="shared" si="3"/>
        <v>750</v>
      </c>
      <c r="L30" s="86">
        <f t="shared" si="4"/>
        <v>-250</v>
      </c>
      <c r="M30" s="95">
        <f>E30-G30</f>
        <v>373</v>
      </c>
      <c r="N30" s="3" t="s">
        <v>113</v>
      </c>
      <c r="P30">
        <v>15</v>
      </c>
      <c r="T30" s="61">
        <f t="shared" si="5"/>
        <v>-250</v>
      </c>
    </row>
    <row r="31" spans="1:20">
      <c r="A31" t="s">
        <v>7</v>
      </c>
      <c r="E31" s="98">
        <v>0</v>
      </c>
      <c r="F31" s="34"/>
      <c r="G31" s="105">
        <v>0</v>
      </c>
      <c r="H31" s="105"/>
      <c r="I31" s="36"/>
      <c r="J31" s="65"/>
      <c r="K31" s="115">
        <f t="shared" si="3"/>
        <v>0</v>
      </c>
      <c r="L31" s="86">
        <f t="shared" si="4"/>
        <v>0</v>
      </c>
      <c r="M31" s="39"/>
      <c r="T31" s="61">
        <f t="shared" si="5"/>
        <v>0</v>
      </c>
    </row>
    <row r="32" spans="1:20">
      <c r="A32" t="s">
        <v>29</v>
      </c>
      <c r="E32" s="98">
        <v>325</v>
      </c>
      <c r="F32" s="34"/>
      <c r="G32" s="105">
        <v>0</v>
      </c>
      <c r="H32" s="105"/>
      <c r="I32" s="36">
        <v>325</v>
      </c>
      <c r="J32" s="65">
        <v>0</v>
      </c>
      <c r="K32" s="115">
        <f t="shared" si="3"/>
        <v>325</v>
      </c>
      <c r="L32" s="86">
        <f t="shared" si="4"/>
        <v>0</v>
      </c>
      <c r="M32" s="39"/>
      <c r="T32" s="61">
        <f t="shared" si="5"/>
        <v>0</v>
      </c>
    </row>
    <row r="33" spans="1:22" s="25" customFormat="1">
      <c r="A33" s="25" t="s">
        <v>30</v>
      </c>
      <c r="E33" s="161">
        <v>3000</v>
      </c>
      <c r="F33" s="162"/>
      <c r="G33" s="163">
        <v>525</v>
      </c>
      <c r="H33" s="163"/>
      <c r="I33" s="164">
        <v>3000</v>
      </c>
      <c r="J33" s="65">
        <v>0</v>
      </c>
      <c r="K33" s="120">
        <f>I33*(1+J33)</f>
        <v>3000</v>
      </c>
      <c r="L33" s="127">
        <f t="shared" si="4"/>
        <v>0</v>
      </c>
      <c r="M33" s="165">
        <f>E33-G33</f>
        <v>2475</v>
      </c>
      <c r="N33" s="155" t="s">
        <v>116</v>
      </c>
      <c r="Q33" s="166"/>
      <c r="T33" s="61">
        <f t="shared" si="5"/>
        <v>0</v>
      </c>
    </row>
    <row r="34" spans="1:22" s="67" customFormat="1" ht="15">
      <c r="A34" s="67" t="s">
        <v>129</v>
      </c>
      <c r="E34" s="99"/>
      <c r="F34" s="68"/>
      <c r="G34" s="106"/>
      <c r="H34" s="106"/>
      <c r="I34" s="69"/>
      <c r="J34" s="70"/>
      <c r="K34" s="116">
        <v>3000</v>
      </c>
      <c r="L34" s="124">
        <f t="shared" si="4"/>
        <v>3000</v>
      </c>
      <c r="M34" s="71"/>
      <c r="N34" s="72"/>
      <c r="Q34" s="73"/>
      <c r="T34" s="128">
        <f t="shared" si="5"/>
        <v>3000</v>
      </c>
    </row>
    <row r="35" spans="1:22" s="67" customFormat="1">
      <c r="A35" s="72" t="s">
        <v>131</v>
      </c>
      <c r="E35" s="88"/>
      <c r="F35" s="79"/>
      <c r="G35" s="106"/>
      <c r="H35" s="106"/>
      <c r="I35" s="80"/>
      <c r="J35" s="70"/>
      <c r="K35" s="119">
        <v>2500</v>
      </c>
      <c r="L35" s="124">
        <f>K35-I35</f>
        <v>2500</v>
      </c>
      <c r="M35" s="71"/>
      <c r="Q35" s="81"/>
      <c r="T35" s="128">
        <f>+L35</f>
        <v>2500</v>
      </c>
    </row>
    <row r="36" spans="1:22">
      <c r="A36" t="s">
        <v>31</v>
      </c>
      <c r="E36" s="98">
        <v>840</v>
      </c>
      <c r="F36" s="34"/>
      <c r="G36" s="105">
        <v>490</v>
      </c>
      <c r="H36" s="105"/>
      <c r="I36" s="36">
        <v>840</v>
      </c>
      <c r="J36" s="65">
        <v>0</v>
      </c>
      <c r="K36" s="115">
        <f t="shared" ref="K36" si="6">E36*(1+J36)</f>
        <v>840</v>
      </c>
      <c r="L36" s="127">
        <f t="shared" si="4"/>
        <v>0</v>
      </c>
      <c r="M36" s="39"/>
      <c r="N36" s="3" t="s">
        <v>23</v>
      </c>
      <c r="P36">
        <v>16</v>
      </c>
    </row>
    <row r="37" spans="1:22" s="138" customFormat="1" ht="32.25" customHeight="1">
      <c r="A37" s="130"/>
      <c r="B37" s="130"/>
      <c r="C37" s="130"/>
      <c r="D37" s="130" t="s">
        <v>18</v>
      </c>
      <c r="E37" s="131">
        <f>SUM(E27:E36)</f>
        <v>8180</v>
      </c>
      <c r="F37" s="132"/>
      <c r="G37" s="133">
        <f>SUM(G27:G36)</f>
        <v>4395.2</v>
      </c>
      <c r="H37" s="133"/>
      <c r="I37" s="134">
        <f>SUM(I27:I36)</f>
        <v>8315</v>
      </c>
      <c r="J37" s="158"/>
      <c r="K37" s="134">
        <f>SUM(K27:K36)</f>
        <v>13565</v>
      </c>
      <c r="L37" s="135"/>
      <c r="M37" s="136">
        <f>SUM(M27:M36)</f>
        <v>2848</v>
      </c>
      <c r="N37" s="130"/>
      <c r="O37" s="130"/>
      <c r="P37" s="130"/>
      <c r="Q37" s="137">
        <f>(K37/E37)-1</f>
        <v>0.65831295843520787</v>
      </c>
      <c r="R37" s="130" t="s">
        <v>118</v>
      </c>
      <c r="S37" s="130"/>
      <c r="T37" s="130"/>
      <c r="U37" s="130"/>
      <c r="V37" s="130"/>
    </row>
    <row r="38" spans="1:22" ht="15">
      <c r="E38" s="96"/>
      <c r="F38" s="26"/>
      <c r="G38" s="107"/>
      <c r="H38" s="107"/>
      <c r="I38" s="6"/>
      <c r="J38" s="156"/>
      <c r="K38" s="52"/>
      <c r="M38" s="43"/>
    </row>
    <row r="39" spans="1:22" ht="15">
      <c r="E39" s="96" t="s">
        <v>1</v>
      </c>
      <c r="F39" s="31"/>
      <c r="G39" s="101"/>
      <c r="H39" s="101"/>
      <c r="J39" s="65"/>
      <c r="K39" s="48" t="s">
        <v>22</v>
      </c>
      <c r="L39" s="9"/>
      <c r="M39" s="39"/>
    </row>
    <row r="40" spans="1:22" ht="15">
      <c r="E40" s="96" t="s">
        <v>88</v>
      </c>
      <c r="F40" s="31"/>
      <c r="G40" s="103" t="s">
        <v>19</v>
      </c>
      <c r="H40" s="103"/>
      <c r="I40" s="1" t="s">
        <v>20</v>
      </c>
      <c r="J40" s="156"/>
      <c r="K40" s="117" t="s">
        <v>99</v>
      </c>
      <c r="M40" s="39"/>
      <c r="P40" s="11" t="s">
        <v>2</v>
      </c>
    </row>
    <row r="41" spans="1:22">
      <c r="A41" s="1" t="s">
        <v>8</v>
      </c>
      <c r="F41" s="26"/>
      <c r="G41" s="102"/>
      <c r="H41" s="102"/>
      <c r="I41" s="5"/>
      <c r="J41" s="65"/>
      <c r="K41" s="118"/>
      <c r="M41" s="41"/>
    </row>
    <row r="42" spans="1:22">
      <c r="A42" t="s">
        <v>32</v>
      </c>
      <c r="E42" s="85">
        <v>1280</v>
      </c>
      <c r="F42" s="26"/>
      <c r="G42" s="105">
        <v>593.13</v>
      </c>
      <c r="H42" s="105"/>
      <c r="I42" s="5">
        <v>1280</v>
      </c>
      <c r="J42" s="65">
        <v>0</v>
      </c>
      <c r="K42" s="115">
        <f t="shared" ref="K42:K43" si="7">E42*(1+J42)</f>
        <v>1280</v>
      </c>
      <c r="L42" s="86">
        <f t="shared" ref="L42:L43" si="8">K42-I42</f>
        <v>0</v>
      </c>
      <c r="M42" s="39"/>
      <c r="N42" s="3" t="s">
        <v>80</v>
      </c>
      <c r="P42">
        <v>17</v>
      </c>
      <c r="T42" s="61">
        <f t="shared" ref="T42:T43" si="9">+L42</f>
        <v>0</v>
      </c>
    </row>
    <row r="43" spans="1:22">
      <c r="A43" t="s">
        <v>33</v>
      </c>
      <c r="E43" s="85">
        <v>1080</v>
      </c>
      <c r="F43" s="26"/>
      <c r="G43" s="105">
        <v>821.29</v>
      </c>
      <c r="H43" s="105"/>
      <c r="I43" s="5">
        <v>1080</v>
      </c>
      <c r="J43" s="65">
        <v>0</v>
      </c>
      <c r="K43" s="115">
        <f t="shared" si="7"/>
        <v>1080</v>
      </c>
      <c r="L43" s="86">
        <f t="shared" si="8"/>
        <v>0</v>
      </c>
      <c r="M43" s="39"/>
      <c r="N43" s="3" t="s">
        <v>85</v>
      </c>
      <c r="P43">
        <v>18</v>
      </c>
      <c r="R43" s="12"/>
      <c r="T43" s="61">
        <f t="shared" si="9"/>
        <v>0</v>
      </c>
    </row>
    <row r="44" spans="1:22" s="139" customFormat="1" ht="39" customHeight="1">
      <c r="D44" s="130" t="s">
        <v>18</v>
      </c>
      <c r="E44" s="131">
        <f>SUM(E42:E43)</f>
        <v>2360</v>
      </c>
      <c r="F44" s="140"/>
      <c r="G44" s="133">
        <f>SUM(G42:G43)</f>
        <v>1414.42</v>
      </c>
      <c r="H44" s="133"/>
      <c r="I44" s="134">
        <f>SUM(I42:I43)</f>
        <v>2360</v>
      </c>
      <c r="J44" s="157"/>
      <c r="K44" s="134">
        <f>SUM(K42:K43)</f>
        <v>2360</v>
      </c>
      <c r="L44" s="141"/>
      <c r="M44" s="141"/>
      <c r="Q44" s="137">
        <f>(K44/E44)-1</f>
        <v>0</v>
      </c>
      <c r="R44" s="130" t="s">
        <v>118</v>
      </c>
      <c r="T44" s="142"/>
    </row>
    <row r="45" spans="1:22">
      <c r="A45" s="1" t="s">
        <v>9</v>
      </c>
      <c r="E45" s="85"/>
      <c r="F45" s="26"/>
      <c r="J45" s="65"/>
      <c r="K45" s="115"/>
      <c r="M45" s="41"/>
      <c r="Q45" s="5"/>
      <c r="R45" s="5"/>
      <c r="T45" s="25"/>
    </row>
    <row r="46" spans="1:22">
      <c r="A46" t="s">
        <v>101</v>
      </c>
      <c r="E46" s="85">
        <v>125</v>
      </c>
      <c r="F46" s="26"/>
      <c r="G46" s="105">
        <v>0</v>
      </c>
      <c r="H46" s="105"/>
      <c r="I46" s="4">
        <v>150</v>
      </c>
      <c r="J46" s="65">
        <v>0</v>
      </c>
      <c r="K46" s="115">
        <f>I46*(1+J46)</f>
        <v>150</v>
      </c>
      <c r="L46" s="86">
        <f t="shared" ref="L46:L49" si="10">K46-I46</f>
        <v>0</v>
      </c>
      <c r="M46" s="95">
        <f t="shared" ref="M46:M48" si="11">E46-G46</f>
        <v>125</v>
      </c>
      <c r="P46">
        <v>19</v>
      </c>
      <c r="Q46" s="10"/>
      <c r="R46" s="4"/>
      <c r="T46" s="61">
        <f t="shared" ref="T46:T49" si="12">+L46</f>
        <v>0</v>
      </c>
    </row>
    <row r="47" spans="1:22">
      <c r="A47" t="s">
        <v>34</v>
      </c>
      <c r="D47" s="1"/>
      <c r="E47" s="85">
        <v>125</v>
      </c>
      <c r="F47" s="26"/>
      <c r="G47" s="105">
        <v>288</v>
      </c>
      <c r="H47" s="105"/>
      <c r="I47" s="5">
        <v>125</v>
      </c>
      <c r="J47" s="65">
        <v>0</v>
      </c>
      <c r="K47" s="115">
        <f t="shared" ref="K47:K49" si="13">I47*(1+J47)</f>
        <v>125</v>
      </c>
      <c r="L47" s="86">
        <f t="shared" si="10"/>
        <v>0</v>
      </c>
      <c r="M47" s="95">
        <f t="shared" si="11"/>
        <v>-163</v>
      </c>
      <c r="Q47" s="3"/>
      <c r="T47" s="61">
        <f t="shared" si="12"/>
        <v>0</v>
      </c>
    </row>
    <row r="48" spans="1:22">
      <c r="A48" t="s">
        <v>10</v>
      </c>
      <c r="E48" s="85">
        <v>50</v>
      </c>
      <c r="F48" s="26"/>
      <c r="G48" s="105">
        <v>0</v>
      </c>
      <c r="H48" s="105"/>
      <c r="I48" s="5">
        <v>25</v>
      </c>
      <c r="J48" s="65">
        <v>0</v>
      </c>
      <c r="K48" s="115">
        <f t="shared" si="13"/>
        <v>25</v>
      </c>
      <c r="L48" s="86">
        <f t="shared" si="10"/>
        <v>0</v>
      </c>
      <c r="M48" s="95">
        <f t="shared" si="11"/>
        <v>50</v>
      </c>
      <c r="Q48" s="3"/>
      <c r="T48" s="61">
        <f t="shared" si="12"/>
        <v>0</v>
      </c>
    </row>
    <row r="49" spans="1:22">
      <c r="A49" t="s">
        <v>11</v>
      </c>
      <c r="E49" s="85">
        <v>600</v>
      </c>
      <c r="F49" s="26"/>
      <c r="G49" s="105">
        <v>488.8</v>
      </c>
      <c r="H49" s="105"/>
      <c r="I49" s="5">
        <v>600</v>
      </c>
      <c r="J49" s="65">
        <v>0</v>
      </c>
      <c r="K49" s="115">
        <f t="shared" si="13"/>
        <v>600</v>
      </c>
      <c r="L49" s="86">
        <f t="shared" si="10"/>
        <v>0</v>
      </c>
      <c r="M49" s="42"/>
      <c r="Q49" s="10"/>
      <c r="T49" s="61">
        <f t="shared" si="12"/>
        <v>0</v>
      </c>
    </row>
    <row r="51" spans="1:22" s="139" customFormat="1" ht="33" customHeight="1">
      <c r="D51" s="130" t="s">
        <v>18</v>
      </c>
      <c r="E51" s="131">
        <f>SUM(E46:E50)</f>
        <v>900</v>
      </c>
      <c r="F51" s="140"/>
      <c r="G51" s="133">
        <f>SUM(G46:G50)</f>
        <v>776.8</v>
      </c>
      <c r="H51" s="133"/>
      <c r="I51" s="134">
        <f>SUM(I46:I50)</f>
        <v>900</v>
      </c>
      <c r="J51" s="157"/>
      <c r="K51" s="134">
        <f>SUM(K46:K50)</f>
        <v>900</v>
      </c>
      <c r="L51" s="141"/>
      <c r="M51" s="136">
        <f>SUM(M46:M50)</f>
        <v>12</v>
      </c>
      <c r="Q51" s="137">
        <f>(K51/E51)-1</f>
        <v>0</v>
      </c>
      <c r="R51" s="130" t="s">
        <v>118</v>
      </c>
    </row>
    <row r="52" spans="1:22">
      <c r="E52" s="85"/>
      <c r="F52" s="26"/>
      <c r="J52" s="65"/>
      <c r="K52" s="115"/>
      <c r="M52" s="43"/>
      <c r="O52" s="5"/>
    </row>
    <row r="53" spans="1:22">
      <c r="A53" s="1" t="s">
        <v>25</v>
      </c>
      <c r="E53" s="85"/>
      <c r="F53" s="26"/>
      <c r="J53" s="65"/>
      <c r="K53" s="115"/>
      <c r="M53" s="41"/>
      <c r="N53" s="5"/>
      <c r="O53" s="5"/>
    </row>
    <row r="54" spans="1:22">
      <c r="A54" s="3" t="s">
        <v>92</v>
      </c>
      <c r="E54" s="85">
        <v>150</v>
      </c>
      <c r="F54" s="26"/>
      <c r="G54" s="105">
        <v>120</v>
      </c>
      <c r="H54" s="105"/>
      <c r="I54" s="5">
        <v>150</v>
      </c>
      <c r="J54" s="65">
        <v>0</v>
      </c>
      <c r="K54" s="115">
        <f t="shared" ref="K54:K58" si="14">I54*(1+J54)</f>
        <v>150</v>
      </c>
      <c r="L54" s="86">
        <f t="shared" ref="L54:L59" si="15">K54-I54</f>
        <v>0</v>
      </c>
      <c r="M54" s="41"/>
      <c r="N54" s="3"/>
      <c r="R54" s="12"/>
      <c r="T54" s="61">
        <f t="shared" ref="T54:T59" si="16">+L54</f>
        <v>0</v>
      </c>
    </row>
    <row r="55" spans="1:22" s="25" customFormat="1">
      <c r="A55" s="155" t="s">
        <v>122</v>
      </c>
      <c r="E55" s="167">
        <v>8000</v>
      </c>
      <c r="F55" s="168"/>
      <c r="G55" s="163">
        <v>0</v>
      </c>
      <c r="H55" s="163"/>
      <c r="I55" s="169">
        <v>8000</v>
      </c>
      <c r="J55" s="63">
        <v>0</v>
      </c>
      <c r="K55" s="120">
        <f t="shared" si="14"/>
        <v>8000</v>
      </c>
      <c r="L55" s="127">
        <f t="shared" si="15"/>
        <v>0</v>
      </c>
      <c r="M55" s="170">
        <v>8000</v>
      </c>
      <c r="N55" s="155" t="s">
        <v>106</v>
      </c>
      <c r="R55" s="166"/>
      <c r="T55" s="61">
        <f t="shared" si="16"/>
        <v>0</v>
      </c>
    </row>
    <row r="56" spans="1:22">
      <c r="A56" s="3" t="s">
        <v>35</v>
      </c>
      <c r="E56" s="85">
        <v>0</v>
      </c>
      <c r="F56" s="26"/>
      <c r="G56" s="105">
        <v>0</v>
      </c>
      <c r="H56" s="105"/>
      <c r="I56" s="5"/>
      <c r="J56" s="65">
        <v>0</v>
      </c>
      <c r="K56" s="115">
        <f t="shared" si="14"/>
        <v>0</v>
      </c>
      <c r="L56" s="86">
        <f t="shared" si="15"/>
        <v>0</v>
      </c>
      <c r="M56" s="41"/>
      <c r="N56" s="3"/>
      <c r="T56" s="61">
        <f t="shared" si="16"/>
        <v>0</v>
      </c>
    </row>
    <row r="57" spans="1:22" s="144" customFormat="1">
      <c r="A57" s="143" t="s">
        <v>49</v>
      </c>
      <c r="E57" s="145">
        <v>1000</v>
      </c>
      <c r="F57" s="146"/>
      <c r="G57" s="147">
        <v>2878.03</v>
      </c>
      <c r="H57" s="147"/>
      <c r="I57" s="148">
        <v>1000</v>
      </c>
      <c r="J57" s="149">
        <v>0</v>
      </c>
      <c r="K57" s="150">
        <f t="shared" si="14"/>
        <v>1000</v>
      </c>
      <c r="L57" s="151">
        <f t="shared" si="15"/>
        <v>0</v>
      </c>
      <c r="M57" s="152">
        <v>677.49</v>
      </c>
      <c r="N57" s="143"/>
      <c r="R57" s="153"/>
      <c r="T57" s="154"/>
    </row>
    <row r="58" spans="1:22">
      <c r="A58" s="3" t="s">
        <v>36</v>
      </c>
      <c r="E58" s="85">
        <v>0</v>
      </c>
      <c r="F58" s="26"/>
      <c r="G58" s="105">
        <v>658</v>
      </c>
      <c r="H58" s="105"/>
      <c r="I58" s="5">
        <v>0</v>
      </c>
      <c r="J58" s="65">
        <v>0</v>
      </c>
      <c r="K58" s="115">
        <f t="shared" si="14"/>
        <v>0</v>
      </c>
      <c r="L58" s="86">
        <f t="shared" si="15"/>
        <v>0</v>
      </c>
      <c r="M58" s="42"/>
      <c r="N58" s="10" t="s">
        <v>93</v>
      </c>
      <c r="R58" s="12"/>
      <c r="T58" s="61">
        <f t="shared" si="16"/>
        <v>0</v>
      </c>
    </row>
    <row r="59" spans="1:22">
      <c r="A59" s="3" t="s">
        <v>89</v>
      </c>
      <c r="E59" s="85"/>
      <c r="F59" s="26"/>
      <c r="G59" s="102"/>
      <c r="H59" s="102"/>
      <c r="I59" s="5"/>
      <c r="J59" s="65"/>
      <c r="K59" s="115"/>
      <c r="L59" s="86">
        <f t="shared" si="15"/>
        <v>0</v>
      </c>
      <c r="M59" s="42"/>
      <c r="N59" s="10"/>
      <c r="R59" s="12"/>
      <c r="T59" s="61">
        <f t="shared" si="16"/>
        <v>0</v>
      </c>
    </row>
    <row r="60" spans="1:22" s="138" customFormat="1" ht="38.25" customHeight="1">
      <c r="A60" s="130"/>
      <c r="B60" s="130" t="s">
        <v>17</v>
      </c>
      <c r="C60" s="130"/>
      <c r="D60" s="130"/>
      <c r="E60" s="131">
        <f>SUM(E54:E58)</f>
        <v>9150</v>
      </c>
      <c r="F60" s="132"/>
      <c r="G60" s="133">
        <f>SUM(G53:G58)</f>
        <v>3656.03</v>
      </c>
      <c r="H60" s="133"/>
      <c r="I60" s="134">
        <f>SUM(I54:I58)</f>
        <v>9150</v>
      </c>
      <c r="J60" s="158"/>
      <c r="K60" s="134">
        <f>SUM(K54:K59)</f>
        <v>9150</v>
      </c>
      <c r="L60" s="135"/>
      <c r="M60" s="136">
        <f>SUM(M54:M58)</f>
        <v>8677.49</v>
      </c>
      <c r="N60" s="130"/>
      <c r="O60" s="130"/>
      <c r="P60" s="130"/>
      <c r="Q60" s="137">
        <f>(K60/E60)-1</f>
        <v>0</v>
      </c>
      <c r="R60" s="130" t="s">
        <v>118</v>
      </c>
      <c r="S60" s="130"/>
      <c r="T60" s="130"/>
      <c r="U60" s="130"/>
      <c r="V60" s="130"/>
    </row>
    <row r="61" spans="1:22" ht="15">
      <c r="E61" s="85"/>
      <c r="G61" s="102"/>
      <c r="H61" s="102"/>
      <c r="I61" s="5"/>
      <c r="J61" s="65"/>
      <c r="K61" s="52"/>
      <c r="M61" s="41"/>
      <c r="T61" s="4">
        <f>SUM(T8:T60)</f>
        <v>7187</v>
      </c>
    </row>
    <row r="62" spans="1:22">
      <c r="A62" s="1" t="s">
        <v>81</v>
      </c>
      <c r="E62" s="85"/>
      <c r="J62" s="65"/>
      <c r="K62" s="115"/>
      <c r="M62" s="41"/>
      <c r="N62" s="5"/>
    </row>
    <row r="63" spans="1:22" s="75" customFormat="1" ht="36.75" customHeight="1">
      <c r="A63" s="75" t="s">
        <v>37</v>
      </c>
      <c r="E63" s="100">
        <v>49293.51</v>
      </c>
      <c r="G63" s="108">
        <v>0</v>
      </c>
      <c r="H63" s="108"/>
      <c r="I63" s="76">
        <f>SUM(I24+I37+I44+I51+I60)</f>
        <v>50277</v>
      </c>
      <c r="J63" s="159"/>
      <c r="K63" s="121">
        <f>SUM(K24+K37+K44+K51+K60)</f>
        <v>57464</v>
      </c>
      <c r="L63" s="125"/>
      <c r="M63" s="77"/>
      <c r="P63" s="75">
        <v>20</v>
      </c>
      <c r="Q63" s="87">
        <f>(K63/E63)-1</f>
        <v>0.16575184035383161</v>
      </c>
      <c r="R63" s="75" t="s">
        <v>118</v>
      </c>
    </row>
    <row r="64" spans="1:22" s="3" customFormat="1" ht="15">
      <c r="A64" s="3" t="s">
        <v>38</v>
      </c>
      <c r="E64" s="8"/>
      <c r="G64" s="105"/>
      <c r="H64" s="105"/>
      <c r="I64" s="8"/>
      <c r="J64" s="65"/>
      <c r="K64" s="115"/>
      <c r="L64" s="40"/>
      <c r="M64" s="40"/>
      <c r="P64" s="3">
        <v>21</v>
      </c>
      <c r="Q64" s="74"/>
    </row>
    <row r="65" spans="1:22" s="3" customFormat="1">
      <c r="A65" s="3" t="s">
        <v>61</v>
      </c>
      <c r="E65" s="8"/>
      <c r="G65" s="105"/>
      <c r="H65" s="105"/>
      <c r="I65" s="8"/>
      <c r="J65" s="65"/>
      <c r="K65" s="115">
        <f>M65</f>
        <v>11537.49</v>
      </c>
      <c r="L65" s="40"/>
      <c r="M65" s="43">
        <f>SUM(M24+M37+M44+M51+M60)</f>
        <v>11537.49</v>
      </c>
      <c r="N65" s="3" t="s">
        <v>95</v>
      </c>
      <c r="P65" s="3">
        <v>22</v>
      </c>
    </row>
    <row r="66" spans="1:22" s="3" customFormat="1">
      <c r="A66" s="3" t="s">
        <v>60</v>
      </c>
      <c r="E66" s="8">
        <v>5846</v>
      </c>
      <c r="G66" s="105"/>
      <c r="H66" s="105"/>
      <c r="I66" s="8"/>
      <c r="J66" s="65"/>
      <c r="K66" s="115"/>
      <c r="L66" s="40"/>
      <c r="M66" s="42"/>
    </row>
    <row r="67" spans="1:22" s="3" customFormat="1" ht="15.75">
      <c r="A67" s="3" t="s">
        <v>39</v>
      </c>
      <c r="E67" s="8">
        <v>43447.18</v>
      </c>
      <c r="G67" s="105"/>
      <c r="H67" s="105"/>
      <c r="I67" s="8"/>
      <c r="J67" s="65"/>
      <c r="K67" s="115">
        <f>SUM(K63-(K64+K65+K66))</f>
        <v>45926.51</v>
      </c>
      <c r="L67" s="40"/>
      <c r="M67" s="40"/>
      <c r="N67" s="82"/>
      <c r="O67" s="83"/>
      <c r="P67" s="3">
        <v>23</v>
      </c>
    </row>
    <row r="68" spans="1:22" s="3" customFormat="1">
      <c r="E68" s="8"/>
      <c r="G68" s="109"/>
      <c r="H68" s="109"/>
      <c r="I68" s="8"/>
      <c r="J68" s="65"/>
      <c r="K68" s="115"/>
      <c r="L68" s="40"/>
      <c r="M68" s="40"/>
    </row>
    <row r="69" spans="1:22" s="3" customFormat="1">
      <c r="B69" s="3" t="s">
        <v>86</v>
      </c>
      <c r="E69" s="8">
        <v>957.96</v>
      </c>
      <c r="G69" s="109"/>
      <c r="H69" s="109"/>
      <c r="I69" s="8">
        <v>957</v>
      </c>
      <c r="J69" s="65">
        <v>-0.25</v>
      </c>
      <c r="K69" s="120">
        <f t="shared" ref="K69" si="17">E69*(1+J69)</f>
        <v>718.47</v>
      </c>
      <c r="L69" s="40"/>
      <c r="M69" s="40"/>
      <c r="N69" s="3" t="s">
        <v>108</v>
      </c>
      <c r="P69" s="14" t="s">
        <v>90</v>
      </c>
    </row>
    <row r="70" spans="1:22" s="3" customFormat="1" ht="15">
      <c r="A70" s="48"/>
      <c r="B70" s="48" t="s">
        <v>87</v>
      </c>
      <c r="C70" s="48"/>
      <c r="D70" s="48"/>
      <c r="E70" s="56">
        <v>42489.22</v>
      </c>
      <c r="F70" s="48"/>
      <c r="G70" s="110"/>
      <c r="H70" s="110"/>
      <c r="I70" s="56"/>
      <c r="J70" s="156"/>
      <c r="K70" s="56">
        <f>SUM(K67-K69)</f>
        <v>45208.04</v>
      </c>
      <c r="L70" s="57"/>
      <c r="M70" s="57"/>
      <c r="N70" s="74">
        <f>(K70/E70)-1</f>
        <v>6.3988465780261405E-2</v>
      </c>
      <c r="O70" s="48" t="s">
        <v>118</v>
      </c>
      <c r="P70" s="48"/>
      <c r="Q70" s="48"/>
      <c r="R70" s="48"/>
      <c r="S70" s="48"/>
      <c r="T70" s="48"/>
      <c r="U70" s="48"/>
      <c r="V70" s="48"/>
    </row>
    <row r="71" spans="1:22">
      <c r="E71" s="85"/>
      <c r="J71" s="65"/>
      <c r="K71" s="115"/>
      <c r="M71" s="39"/>
    </row>
    <row r="72" spans="1:22">
      <c r="A72" s="26" t="s">
        <v>41</v>
      </c>
      <c r="B72" s="26"/>
      <c r="C72" s="26"/>
      <c r="D72" s="27">
        <v>761.23</v>
      </c>
      <c r="F72" s="27">
        <v>33798</v>
      </c>
      <c r="I72" s="26" t="s">
        <v>24</v>
      </c>
      <c r="J72" s="65"/>
      <c r="K72" s="122">
        <v>44.4</v>
      </c>
      <c r="L72" s="126"/>
      <c r="M72" s="45">
        <f>F72/D72</f>
        <v>44.399196037991146</v>
      </c>
    </row>
    <row r="73" spans="1:22">
      <c r="A73" s="26" t="s">
        <v>42</v>
      </c>
      <c r="B73" s="26"/>
      <c r="C73" s="26"/>
      <c r="D73" s="27">
        <v>767.7</v>
      </c>
      <c r="F73" s="27">
        <v>36754</v>
      </c>
      <c r="I73" s="26" t="s">
        <v>24</v>
      </c>
      <c r="J73" s="65"/>
      <c r="K73" s="122">
        <v>48</v>
      </c>
      <c r="L73" s="126"/>
      <c r="M73" s="45">
        <f t="shared" ref="M73:M83" si="18">F73/D73</f>
        <v>47.875472189657415</v>
      </c>
    </row>
    <row r="74" spans="1:22">
      <c r="A74" s="26" t="s">
        <v>43</v>
      </c>
      <c r="B74" s="26"/>
      <c r="C74" s="26"/>
      <c r="D74" s="27">
        <v>767.62</v>
      </c>
      <c r="F74" s="27">
        <v>36846</v>
      </c>
      <c r="I74" s="26" t="s">
        <v>24</v>
      </c>
      <c r="J74" s="65"/>
      <c r="K74" s="122">
        <v>48</v>
      </c>
      <c r="L74" s="126"/>
      <c r="M74" s="45">
        <f t="shared" si="18"/>
        <v>48.000312654698938</v>
      </c>
    </row>
    <row r="75" spans="1:22">
      <c r="A75" s="26" t="s">
        <v>44</v>
      </c>
      <c r="B75" s="26"/>
      <c r="C75" s="26"/>
      <c r="D75" s="27">
        <v>765.25</v>
      </c>
      <c r="F75" s="27">
        <v>36733</v>
      </c>
      <c r="I75" s="26" t="s">
        <v>24</v>
      </c>
      <c r="J75" s="65"/>
      <c r="K75" s="122">
        <v>48</v>
      </c>
      <c r="L75" s="126"/>
      <c r="M75" s="45">
        <f t="shared" si="18"/>
        <v>48.001306762495915</v>
      </c>
    </row>
    <row r="76" spans="1:22">
      <c r="A76" s="26" t="s">
        <v>45</v>
      </c>
      <c r="B76" s="26"/>
      <c r="C76" s="26"/>
      <c r="D76" s="27">
        <v>772.2</v>
      </c>
      <c r="F76" s="27">
        <v>33976</v>
      </c>
      <c r="I76" s="26" t="s">
        <v>24</v>
      </c>
      <c r="J76" s="65"/>
      <c r="K76" s="122">
        <v>44</v>
      </c>
      <c r="L76" s="126"/>
      <c r="M76" s="45">
        <f t="shared" si="18"/>
        <v>43.998963998963994</v>
      </c>
    </row>
    <row r="77" spans="1:22">
      <c r="A77" s="26" t="s">
        <v>46</v>
      </c>
      <c r="B77" s="26"/>
      <c r="C77" s="26"/>
      <c r="D77" s="27">
        <v>771.2</v>
      </c>
      <c r="F77" s="27">
        <v>33932</v>
      </c>
      <c r="I77" s="26" t="s">
        <v>24</v>
      </c>
      <c r="J77" s="65"/>
      <c r="K77" s="122">
        <v>44</v>
      </c>
      <c r="L77" s="126"/>
      <c r="M77" s="45">
        <f t="shared" si="18"/>
        <v>43.998962655601659</v>
      </c>
    </row>
    <row r="78" spans="1:22">
      <c r="A78" s="26" t="s">
        <v>47</v>
      </c>
      <c r="B78" s="26"/>
      <c r="C78" s="26"/>
      <c r="D78" s="27">
        <v>767.7</v>
      </c>
      <c r="F78" s="27">
        <v>37382.080000000002</v>
      </c>
      <c r="I78" s="26" t="s">
        <v>24</v>
      </c>
      <c r="J78" s="65"/>
      <c r="K78" s="122">
        <v>48.69</v>
      </c>
      <c r="L78" s="126"/>
      <c r="M78" s="45">
        <f t="shared" si="18"/>
        <v>48.693604272502277</v>
      </c>
    </row>
    <row r="79" spans="1:22">
      <c r="A79" s="26" t="s">
        <v>40</v>
      </c>
      <c r="B79" s="26"/>
      <c r="C79" s="26"/>
      <c r="D79" s="27">
        <v>769.3</v>
      </c>
      <c r="F79" s="27">
        <v>36926.400000000001</v>
      </c>
      <c r="I79" s="26" t="s">
        <v>24</v>
      </c>
      <c r="J79" s="65"/>
      <c r="K79" s="122">
        <f>SUM(F79/D79)</f>
        <v>48.000000000000007</v>
      </c>
      <c r="L79" s="126"/>
      <c r="M79" s="45">
        <f t="shared" si="18"/>
        <v>48.000000000000007</v>
      </c>
    </row>
    <row r="80" spans="1:22">
      <c r="A80" s="26" t="s">
        <v>83</v>
      </c>
      <c r="B80" s="26"/>
      <c r="C80" s="26"/>
      <c r="D80" s="27">
        <v>767.7</v>
      </c>
      <c r="F80" s="27">
        <v>37614.339999999997</v>
      </c>
      <c r="I80" s="26" t="s">
        <v>24</v>
      </c>
      <c r="J80" s="65"/>
      <c r="K80" s="122">
        <f>SUM(F80/D80)</f>
        <v>48.996144327211141</v>
      </c>
      <c r="L80" s="126"/>
      <c r="M80" s="45">
        <f t="shared" si="18"/>
        <v>48.996144327211141</v>
      </c>
    </row>
    <row r="81" spans="1:16">
      <c r="A81" s="26" t="s">
        <v>94</v>
      </c>
      <c r="B81" s="26"/>
      <c r="C81" s="26"/>
      <c r="D81" s="27">
        <v>770.2</v>
      </c>
      <c r="F81" s="27">
        <v>40708.32</v>
      </c>
      <c r="I81" s="26" t="s">
        <v>24</v>
      </c>
      <c r="J81" s="65"/>
      <c r="K81" s="122">
        <f>F81/D81</f>
        <v>52.854219683199169</v>
      </c>
      <c r="M81" s="45">
        <f t="shared" si="18"/>
        <v>52.854219683199169</v>
      </c>
      <c r="N81" s="16"/>
      <c r="O81" s="15"/>
    </row>
    <row r="82" spans="1:16" s="1" customFormat="1">
      <c r="A82" s="3" t="s">
        <v>102</v>
      </c>
      <c r="B82" s="3"/>
      <c r="C82" s="3"/>
      <c r="D82" s="8">
        <v>770.2</v>
      </c>
      <c r="E82" s="84"/>
      <c r="F82" s="8">
        <v>42489.22</v>
      </c>
      <c r="G82" s="12"/>
      <c r="H82" s="12"/>
      <c r="I82" s="3" t="s">
        <v>24</v>
      </c>
      <c r="J82" s="65"/>
      <c r="K82" s="118">
        <f>F82/D82</f>
        <v>55.16647623993768</v>
      </c>
      <c r="L82" s="9"/>
      <c r="M82" s="45">
        <f t="shared" si="18"/>
        <v>55.16647623993768</v>
      </c>
      <c r="N82" s="17">
        <f>SUM((P82*100)/K82)</f>
        <v>4.1914160815378612</v>
      </c>
      <c r="O82" s="18" t="s">
        <v>111</v>
      </c>
      <c r="P82" s="47">
        <f>SUM(K82-K81)</f>
        <v>2.3122565567385109</v>
      </c>
    </row>
    <row r="83" spans="1:16" ht="15">
      <c r="A83" s="3" t="s">
        <v>126</v>
      </c>
      <c r="D83" s="4">
        <v>770.2</v>
      </c>
      <c r="F83" s="8">
        <f>SUM(K70)</f>
        <v>45208.04</v>
      </c>
      <c r="I83" s="1" t="s">
        <v>24</v>
      </c>
      <c r="J83" s="65"/>
      <c r="K83" s="52">
        <f>F83/D83</f>
        <v>58.696494417034536</v>
      </c>
      <c r="M83" s="45">
        <f t="shared" si="18"/>
        <v>58.696494417034536</v>
      </c>
      <c r="N83" s="17">
        <f>SUM((P83*100)/K83)</f>
        <v>6.0140187453382152</v>
      </c>
      <c r="O83" s="3" t="s">
        <v>128</v>
      </c>
      <c r="P83" s="47">
        <f>SUM(K83-K82)</f>
        <v>3.5300181770968564</v>
      </c>
    </row>
    <row r="84" spans="1:16">
      <c r="J84" s="65"/>
      <c r="M84" s="39"/>
    </row>
    <row r="85" spans="1:16">
      <c r="A85" s="1" t="s">
        <v>62</v>
      </c>
      <c r="J85" s="65"/>
      <c r="M85" s="39"/>
    </row>
    <row r="86" spans="1:16">
      <c r="J86" s="65"/>
      <c r="M86" s="39"/>
    </row>
    <row r="87" spans="1:16">
      <c r="A87">
        <v>1</v>
      </c>
      <c r="B87" s="3" t="s">
        <v>127</v>
      </c>
      <c r="J87" s="65"/>
      <c r="M87" s="39"/>
    </row>
    <row r="88" spans="1:16">
      <c r="J88" s="65"/>
      <c r="M88" s="39"/>
    </row>
    <row r="89" spans="1:16">
      <c r="A89">
        <v>3</v>
      </c>
      <c r="B89" t="s">
        <v>63</v>
      </c>
      <c r="J89" s="65"/>
      <c r="M89" s="39"/>
    </row>
    <row r="90" spans="1:16">
      <c r="A90">
        <v>4</v>
      </c>
      <c r="B90" t="s">
        <v>64</v>
      </c>
      <c r="J90" s="65"/>
      <c r="M90" s="39"/>
    </row>
    <row r="91" spans="1:16">
      <c r="A91">
        <v>5</v>
      </c>
      <c r="B91" t="s">
        <v>65</v>
      </c>
      <c r="J91" s="65"/>
      <c r="M91" s="39"/>
    </row>
    <row r="92" spans="1:16">
      <c r="B92" t="s">
        <v>114</v>
      </c>
      <c r="J92" s="65"/>
      <c r="M92" s="39"/>
    </row>
    <row r="93" spans="1:16">
      <c r="J93" s="65"/>
      <c r="M93" s="39"/>
    </row>
    <row r="94" spans="1:16">
      <c r="A94">
        <v>7</v>
      </c>
      <c r="B94" t="s">
        <v>66</v>
      </c>
      <c r="J94" s="65"/>
      <c r="M94" s="39"/>
    </row>
    <row r="95" spans="1:16">
      <c r="A95">
        <v>8</v>
      </c>
      <c r="B95" s="3" t="s">
        <v>96</v>
      </c>
      <c r="J95" s="65"/>
      <c r="M95" s="39"/>
    </row>
    <row r="96" spans="1:16">
      <c r="A96">
        <v>9</v>
      </c>
      <c r="B96" t="s">
        <v>77</v>
      </c>
      <c r="J96" s="65"/>
      <c r="M96" s="39"/>
    </row>
    <row r="97" spans="1:13">
      <c r="A97">
        <v>10</v>
      </c>
      <c r="B97" s="3" t="s">
        <v>67</v>
      </c>
      <c r="J97" s="65"/>
      <c r="M97" s="39"/>
    </row>
    <row r="98" spans="1:13">
      <c r="A98">
        <v>11</v>
      </c>
      <c r="B98" t="s">
        <v>68</v>
      </c>
      <c r="J98" s="65"/>
      <c r="M98" s="39"/>
    </row>
    <row r="99" spans="1:13">
      <c r="A99">
        <v>12</v>
      </c>
      <c r="B99" t="s">
        <v>69</v>
      </c>
      <c r="J99" s="65"/>
      <c r="M99" s="39"/>
    </row>
    <row r="100" spans="1:13">
      <c r="A100">
        <v>13</v>
      </c>
      <c r="B100" t="s">
        <v>70</v>
      </c>
      <c r="J100" s="65"/>
      <c r="M100" s="39"/>
    </row>
    <row r="101" spans="1:13">
      <c r="A101">
        <v>14</v>
      </c>
      <c r="B101" t="s">
        <v>71</v>
      </c>
      <c r="J101" s="65"/>
      <c r="M101" s="39"/>
    </row>
    <row r="102" spans="1:13">
      <c r="A102">
        <v>15</v>
      </c>
      <c r="B102" t="s">
        <v>72</v>
      </c>
      <c r="J102" s="65"/>
      <c r="M102" s="39"/>
    </row>
    <row r="103" spans="1:13">
      <c r="A103">
        <v>16</v>
      </c>
      <c r="B103" t="s">
        <v>73</v>
      </c>
      <c r="J103" s="65"/>
      <c r="M103" s="39"/>
    </row>
    <row r="104" spans="1:13">
      <c r="A104">
        <v>17</v>
      </c>
      <c r="B104" s="3" t="s">
        <v>82</v>
      </c>
      <c r="J104" s="65"/>
      <c r="M104" s="39"/>
    </row>
    <row r="105" spans="1:13">
      <c r="A105">
        <v>18</v>
      </c>
      <c r="B105" t="s">
        <v>78</v>
      </c>
      <c r="J105" s="65"/>
      <c r="M105" s="39"/>
    </row>
    <row r="106" spans="1:13">
      <c r="A106">
        <v>19</v>
      </c>
      <c r="J106" s="65"/>
      <c r="M106" s="39"/>
    </row>
    <row r="107" spans="1:13">
      <c r="A107">
        <v>20</v>
      </c>
      <c r="B107" t="s">
        <v>74</v>
      </c>
      <c r="J107" s="65"/>
      <c r="M107" s="39"/>
    </row>
    <row r="108" spans="1:13">
      <c r="A108">
        <v>21</v>
      </c>
      <c r="B108" t="s">
        <v>75</v>
      </c>
      <c r="J108" s="65"/>
      <c r="M108" s="39"/>
    </row>
    <row r="109" spans="1:13">
      <c r="A109">
        <v>22</v>
      </c>
      <c r="B109" s="3" t="s">
        <v>84</v>
      </c>
      <c r="J109" s="65"/>
      <c r="M109" s="39"/>
    </row>
    <row r="110" spans="1:13">
      <c r="A110">
        <v>23</v>
      </c>
      <c r="B110" t="s">
        <v>76</v>
      </c>
      <c r="J110" s="65"/>
      <c r="M110" s="39"/>
    </row>
    <row r="111" spans="1:13">
      <c r="A111" s="14" t="s">
        <v>90</v>
      </c>
      <c r="B111" s="3" t="s">
        <v>110</v>
      </c>
      <c r="J111" s="65"/>
      <c r="M111" s="39"/>
    </row>
    <row r="112" spans="1:13">
      <c r="A112">
        <v>24</v>
      </c>
      <c r="B112" s="3" t="s">
        <v>117</v>
      </c>
      <c r="J112" s="65"/>
      <c r="M112" s="39"/>
    </row>
    <row r="113" spans="10:13">
      <c r="J113" s="65"/>
      <c r="M113" s="39"/>
    </row>
    <row r="114" spans="10:13">
      <c r="J114" s="65"/>
      <c r="M114" s="39"/>
    </row>
  </sheetData>
  <phoneticPr fontId="0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zoomScale="70" zoomScaleNormal="70" workbookViewId="0">
      <pane xSplit="4" ySplit="7" topLeftCell="K8" activePane="bottomRight" state="frozen"/>
      <selection pane="topRight" activeCell="E1" sqref="E1"/>
      <selection pane="bottomLeft" activeCell="A8" sqref="A8"/>
      <selection pane="bottomRight"/>
    </sheetView>
  </sheetViews>
  <sheetFormatPr defaultRowHeight="12.75"/>
  <cols>
    <col min="5" max="5" width="13.42578125" style="9" customWidth="1"/>
    <col min="6" max="6" width="15" style="26" customWidth="1"/>
    <col min="7" max="7" width="13" style="126" customWidth="1"/>
    <col min="8" max="8" width="9.140625" style="26"/>
    <col min="9" max="9" width="19" style="126" customWidth="1"/>
    <col min="10" max="10" width="13" style="261" customWidth="1"/>
    <col min="11" max="11" width="23.7109375" style="188" customWidth="1"/>
    <col min="12" max="12" width="12.140625" style="84" customWidth="1"/>
    <col min="13" max="13" width="13" style="84" customWidth="1"/>
    <col min="14" max="14" width="14.28515625" style="284" customWidth="1"/>
    <col min="20" max="20" width="17.140625" customWidth="1"/>
  </cols>
  <sheetData>
    <row r="1" spans="1:20" ht="15">
      <c r="A1" s="213" t="s">
        <v>0</v>
      </c>
      <c r="B1" s="222"/>
      <c r="C1" s="222"/>
      <c r="D1" s="222"/>
      <c r="E1" s="208" t="s">
        <v>132</v>
      </c>
      <c r="F1" s="214"/>
      <c r="G1" s="226"/>
      <c r="H1" s="219"/>
      <c r="I1" s="223"/>
      <c r="J1" s="256"/>
      <c r="K1" s="208"/>
      <c r="L1" s="224"/>
      <c r="M1" s="224"/>
      <c r="N1" s="273"/>
      <c r="O1" s="222"/>
      <c r="P1" s="222"/>
      <c r="Q1" s="173"/>
    </row>
    <row r="2" spans="1:20" ht="15">
      <c r="A2" s="222"/>
      <c r="B2" s="222"/>
      <c r="C2" s="222"/>
      <c r="D2" s="222"/>
      <c r="E2" s="208"/>
      <c r="F2" s="204"/>
      <c r="G2" s="251"/>
      <c r="H2" s="225"/>
      <c r="I2" s="223"/>
      <c r="J2" s="256"/>
      <c r="K2" s="208"/>
      <c r="L2" s="224"/>
      <c r="M2" s="224"/>
      <c r="N2" s="273"/>
      <c r="O2" s="222"/>
      <c r="P2" s="222"/>
      <c r="Q2" s="173"/>
    </row>
    <row r="3" spans="1:20" ht="15">
      <c r="A3" s="222"/>
      <c r="B3" s="222"/>
      <c r="C3" s="222"/>
      <c r="D3" s="222"/>
      <c r="E3" s="208" t="s">
        <v>1</v>
      </c>
      <c r="F3" s="214"/>
      <c r="G3" s="226"/>
      <c r="H3" s="219"/>
      <c r="I3" s="223"/>
      <c r="J3" s="257" t="s">
        <v>128</v>
      </c>
      <c r="K3" s="191" t="s">
        <v>133</v>
      </c>
      <c r="L3" s="218"/>
      <c r="M3" s="224"/>
      <c r="N3" s="273"/>
      <c r="O3" s="222"/>
      <c r="P3" s="222"/>
      <c r="Q3" s="173"/>
    </row>
    <row r="4" spans="1:20" ht="15">
      <c r="A4" s="222">
        <v>2</v>
      </c>
      <c r="B4" s="222"/>
      <c r="C4" s="222"/>
      <c r="D4" s="222"/>
      <c r="E4" s="208" t="s">
        <v>124</v>
      </c>
      <c r="F4" s="214"/>
      <c r="G4" s="226" t="s">
        <v>19</v>
      </c>
      <c r="H4" s="226"/>
      <c r="I4" s="217" t="s">
        <v>20</v>
      </c>
      <c r="J4" s="257" t="s">
        <v>120</v>
      </c>
      <c r="K4" s="191" t="s">
        <v>134</v>
      </c>
      <c r="L4" s="224"/>
      <c r="M4" s="218" t="s">
        <v>79</v>
      </c>
      <c r="N4" s="273"/>
      <c r="O4" s="222"/>
      <c r="P4" s="227" t="s">
        <v>2</v>
      </c>
      <c r="Q4" s="173"/>
    </row>
    <row r="5" spans="1:20" ht="15">
      <c r="A5" s="213" t="s">
        <v>3</v>
      </c>
      <c r="B5" s="213"/>
      <c r="C5" s="222"/>
      <c r="D5" s="222"/>
      <c r="E5" s="208"/>
      <c r="F5" s="204"/>
      <c r="G5" s="251"/>
      <c r="H5" s="225"/>
      <c r="I5" s="223"/>
      <c r="J5" s="256"/>
      <c r="K5" s="192" t="s">
        <v>135</v>
      </c>
      <c r="L5" s="224"/>
      <c r="M5" s="224"/>
      <c r="N5" s="273"/>
      <c r="O5" s="222"/>
      <c r="P5" s="222"/>
      <c r="Q5" s="173"/>
    </row>
    <row r="6" spans="1:20" ht="15">
      <c r="A6" s="222"/>
      <c r="B6" s="222"/>
      <c r="C6" s="222"/>
      <c r="D6" s="222"/>
      <c r="E6" s="208"/>
      <c r="F6" s="204"/>
      <c r="G6" s="251"/>
      <c r="H6" s="225"/>
      <c r="I6" s="223"/>
      <c r="J6" s="256"/>
      <c r="K6" s="208"/>
      <c r="L6" s="224"/>
      <c r="M6" s="224"/>
      <c r="N6" s="273"/>
      <c r="O6" s="222"/>
      <c r="P6" s="222"/>
      <c r="Q6" s="173"/>
    </row>
    <row r="7" spans="1:20" ht="15">
      <c r="A7" s="213" t="s">
        <v>4</v>
      </c>
      <c r="B7" s="222"/>
      <c r="C7" s="222"/>
      <c r="D7" s="222"/>
      <c r="E7" s="208"/>
      <c r="F7" s="204"/>
      <c r="G7" s="251"/>
      <c r="H7" s="225"/>
      <c r="I7" s="223"/>
      <c r="J7" s="256"/>
      <c r="K7" s="208"/>
      <c r="L7" s="224"/>
      <c r="M7" s="224"/>
      <c r="N7" s="273"/>
      <c r="O7" s="222"/>
      <c r="P7" s="222"/>
      <c r="Q7" s="173"/>
    </row>
    <row r="8" spans="1:20" s="25" customFormat="1" ht="15">
      <c r="A8" s="228" t="s">
        <v>50</v>
      </c>
      <c r="B8" s="228"/>
      <c r="C8" s="228"/>
      <c r="D8" s="229"/>
      <c r="E8" s="193">
        <v>9222</v>
      </c>
      <c r="F8" s="205"/>
      <c r="G8" s="234">
        <v>6019.99</v>
      </c>
      <c r="H8" s="230"/>
      <c r="I8" s="234">
        <v>9222</v>
      </c>
      <c r="J8" s="256">
        <v>0</v>
      </c>
      <c r="K8" s="193">
        <v>10281.120000000001</v>
      </c>
      <c r="L8" s="285">
        <f>+K8-E8</f>
        <v>1059.1200000000008</v>
      </c>
      <c r="M8" s="231"/>
      <c r="N8" s="274">
        <f>+L8/K8</f>
        <v>0.10301601381950612</v>
      </c>
      <c r="O8" s="228"/>
      <c r="P8" s="228" t="s">
        <v>136</v>
      </c>
      <c r="Q8" s="177"/>
      <c r="R8" s="155"/>
      <c r="T8" s="61"/>
    </row>
    <row r="9" spans="1:20" ht="15">
      <c r="A9" s="222" t="s">
        <v>59</v>
      </c>
      <c r="B9" s="222"/>
      <c r="C9" s="222"/>
      <c r="D9" s="222"/>
      <c r="E9" s="195">
        <v>555</v>
      </c>
      <c r="F9" s="204"/>
      <c r="G9" s="249">
        <v>370</v>
      </c>
      <c r="H9" s="232"/>
      <c r="I9" s="249">
        <v>555</v>
      </c>
      <c r="J9" s="256">
        <v>0</v>
      </c>
      <c r="K9" s="195">
        <v>555</v>
      </c>
      <c r="L9" s="285">
        <f t="shared" ref="L9:L24" si="0">+K9-E9</f>
        <v>0</v>
      </c>
      <c r="M9" s="233"/>
      <c r="N9" s="274">
        <f t="shared" ref="N9:N24" si="1">+L9/K9</f>
        <v>0</v>
      </c>
      <c r="O9" s="222"/>
      <c r="P9" s="222"/>
      <c r="Q9" s="173"/>
      <c r="T9" s="61"/>
    </row>
    <row r="10" spans="1:20" ht="15">
      <c r="A10" s="222" t="s">
        <v>51</v>
      </c>
      <c r="B10" s="222"/>
      <c r="C10" s="222"/>
      <c r="D10" s="222"/>
      <c r="E10" s="195">
        <v>450</v>
      </c>
      <c r="F10" s="204"/>
      <c r="G10" s="249">
        <v>432.46</v>
      </c>
      <c r="H10" s="232"/>
      <c r="I10" s="249">
        <v>450</v>
      </c>
      <c r="J10" s="256">
        <v>0</v>
      </c>
      <c r="K10" s="195">
        <v>450</v>
      </c>
      <c r="L10" s="285">
        <f t="shared" si="0"/>
        <v>0</v>
      </c>
      <c r="M10" s="233"/>
      <c r="N10" s="274">
        <f t="shared" si="1"/>
        <v>0</v>
      </c>
      <c r="O10" s="222"/>
      <c r="P10" s="222"/>
      <c r="Q10" s="173"/>
      <c r="T10" s="61"/>
    </row>
    <row r="11" spans="1:20" ht="15">
      <c r="A11" s="222" t="s">
        <v>52</v>
      </c>
      <c r="B11" s="222"/>
      <c r="C11" s="222"/>
      <c r="D11" s="222"/>
      <c r="E11" s="195">
        <v>480</v>
      </c>
      <c r="F11" s="204"/>
      <c r="G11" s="249">
        <v>553</v>
      </c>
      <c r="H11" s="232"/>
      <c r="I11" s="249">
        <v>553</v>
      </c>
      <c r="J11" s="256">
        <v>0</v>
      </c>
      <c r="K11" s="195">
        <v>560</v>
      </c>
      <c r="L11" s="285">
        <f t="shared" si="0"/>
        <v>80</v>
      </c>
      <c r="M11" s="233"/>
      <c r="N11" s="274">
        <f t="shared" si="1"/>
        <v>0.14285714285714285</v>
      </c>
      <c r="O11" s="222"/>
      <c r="P11" s="222"/>
      <c r="Q11" s="173"/>
      <c r="T11" s="61"/>
    </row>
    <row r="12" spans="1:20" ht="15">
      <c r="A12" s="222" t="s">
        <v>53</v>
      </c>
      <c r="B12" s="222"/>
      <c r="C12" s="222"/>
      <c r="D12" s="222"/>
      <c r="E12" s="195">
        <v>1375</v>
      </c>
      <c r="F12" s="204"/>
      <c r="G12" s="249">
        <v>979.71</v>
      </c>
      <c r="H12" s="232"/>
      <c r="I12" s="249">
        <v>979.71</v>
      </c>
      <c r="J12" s="256">
        <v>0</v>
      </c>
      <c r="K12" s="195">
        <v>1000</v>
      </c>
      <c r="L12" s="285">
        <f t="shared" si="0"/>
        <v>-375</v>
      </c>
      <c r="M12" s="233">
        <v>375</v>
      </c>
      <c r="N12" s="274">
        <f t="shared" si="1"/>
        <v>-0.375</v>
      </c>
      <c r="O12" s="222"/>
      <c r="P12" s="222"/>
      <c r="Q12" s="173"/>
      <c r="T12" s="61"/>
    </row>
    <row r="13" spans="1:20" ht="15">
      <c r="A13" s="222" t="s">
        <v>54</v>
      </c>
      <c r="B13" s="222"/>
      <c r="C13" s="222"/>
      <c r="D13" s="222"/>
      <c r="E13" s="195">
        <v>17182</v>
      </c>
      <c r="F13" s="204"/>
      <c r="G13" s="249">
        <v>8591.0400000000009</v>
      </c>
      <c r="H13" s="232"/>
      <c r="I13" s="249">
        <v>17182</v>
      </c>
      <c r="J13" s="256">
        <v>0</v>
      </c>
      <c r="K13" s="195">
        <v>17182</v>
      </c>
      <c r="L13" s="285">
        <f t="shared" si="0"/>
        <v>0</v>
      </c>
      <c r="M13" s="233"/>
      <c r="N13" s="274">
        <f t="shared" si="1"/>
        <v>0</v>
      </c>
      <c r="O13" s="222"/>
      <c r="P13" s="222"/>
      <c r="Q13" s="173"/>
      <c r="T13" s="61"/>
    </row>
    <row r="14" spans="1:20" ht="15">
      <c r="A14" s="222" t="s">
        <v>55</v>
      </c>
      <c r="B14" s="222"/>
      <c r="C14" s="222"/>
      <c r="D14" s="222"/>
      <c r="E14" s="195">
        <v>0</v>
      </c>
      <c r="F14" s="204"/>
      <c r="G14" s="249"/>
      <c r="H14" s="232"/>
      <c r="I14" s="249">
        <v>0</v>
      </c>
      <c r="J14" s="256">
        <v>0</v>
      </c>
      <c r="K14" s="195">
        <v>0</v>
      </c>
      <c r="L14" s="285">
        <f t="shared" si="0"/>
        <v>0</v>
      </c>
      <c r="M14" s="233"/>
      <c r="N14" s="274" t="s">
        <v>121</v>
      </c>
      <c r="O14" s="222"/>
      <c r="P14" s="222"/>
      <c r="Q14" s="178"/>
      <c r="R14" s="12"/>
      <c r="T14" s="61"/>
    </row>
    <row r="15" spans="1:20" ht="15">
      <c r="A15" s="222" t="s">
        <v>56</v>
      </c>
      <c r="B15" s="222"/>
      <c r="C15" s="222"/>
      <c r="D15" s="222"/>
      <c r="E15" s="195">
        <v>25</v>
      </c>
      <c r="F15" s="204"/>
      <c r="G15" s="249"/>
      <c r="H15" s="232"/>
      <c r="I15" s="249">
        <v>25</v>
      </c>
      <c r="J15" s="256">
        <v>0</v>
      </c>
      <c r="K15" s="195">
        <v>25</v>
      </c>
      <c r="L15" s="285">
        <f t="shared" si="0"/>
        <v>0</v>
      </c>
      <c r="M15" s="233"/>
      <c r="N15" s="274">
        <f t="shared" si="1"/>
        <v>0</v>
      </c>
      <c r="O15" s="222"/>
      <c r="P15" s="222"/>
      <c r="Q15" s="173"/>
      <c r="T15" s="61"/>
    </row>
    <row r="16" spans="1:20" ht="15">
      <c r="A16" s="222" t="s">
        <v>57</v>
      </c>
      <c r="B16" s="222"/>
      <c r="C16" s="222"/>
      <c r="D16" s="222"/>
      <c r="E16" s="195">
        <v>300</v>
      </c>
      <c r="F16" s="204"/>
      <c r="G16" s="249">
        <v>55</v>
      </c>
      <c r="H16" s="232"/>
      <c r="I16" s="249">
        <v>300</v>
      </c>
      <c r="J16" s="256">
        <v>0</v>
      </c>
      <c r="K16" s="195">
        <v>300</v>
      </c>
      <c r="L16" s="285">
        <f t="shared" si="0"/>
        <v>0</v>
      </c>
      <c r="M16" s="233"/>
      <c r="N16" s="274">
        <f t="shared" si="1"/>
        <v>0</v>
      </c>
      <c r="O16" s="222"/>
      <c r="P16" s="222"/>
      <c r="Q16" s="173"/>
      <c r="T16" s="61"/>
    </row>
    <row r="17" spans="1:25" ht="15">
      <c r="A17" s="222" t="s">
        <v>58</v>
      </c>
      <c r="B17" s="222"/>
      <c r="C17" s="222"/>
      <c r="D17" s="222"/>
      <c r="E17" s="195">
        <v>50</v>
      </c>
      <c r="F17" s="204"/>
      <c r="G17" s="249"/>
      <c r="H17" s="232"/>
      <c r="I17" s="249">
        <v>50</v>
      </c>
      <c r="J17" s="256">
        <v>0</v>
      </c>
      <c r="K17" s="195">
        <v>50</v>
      </c>
      <c r="L17" s="285">
        <f t="shared" si="0"/>
        <v>0</v>
      </c>
      <c r="M17" s="233">
        <v>50</v>
      </c>
      <c r="N17" s="274">
        <f t="shared" si="1"/>
        <v>0</v>
      </c>
      <c r="O17" s="222"/>
      <c r="P17" s="222"/>
      <c r="Q17" s="173"/>
      <c r="T17" s="61"/>
    </row>
    <row r="18" spans="1:25" ht="15">
      <c r="A18" s="222" t="s">
        <v>12</v>
      </c>
      <c r="B18" s="222"/>
      <c r="C18" s="222"/>
      <c r="D18" s="222"/>
      <c r="E18" s="195">
        <v>625</v>
      </c>
      <c r="F18" s="204"/>
      <c r="G18" s="249">
        <v>584</v>
      </c>
      <c r="H18" s="232"/>
      <c r="I18" s="249">
        <v>625</v>
      </c>
      <c r="J18" s="256">
        <v>0</v>
      </c>
      <c r="K18" s="195">
        <v>625</v>
      </c>
      <c r="L18" s="285">
        <f t="shared" si="0"/>
        <v>0</v>
      </c>
      <c r="M18" s="233"/>
      <c r="N18" s="274">
        <f t="shared" si="1"/>
        <v>0</v>
      </c>
      <c r="O18" s="222"/>
      <c r="P18" s="222" t="s">
        <v>137</v>
      </c>
      <c r="Q18" s="173"/>
      <c r="T18" s="61"/>
    </row>
    <row r="19" spans="1:25" ht="15">
      <c r="A19" s="222" t="s">
        <v>13</v>
      </c>
      <c r="B19" s="222"/>
      <c r="C19" s="222"/>
      <c r="D19" s="222"/>
      <c r="E19" s="195">
        <v>0</v>
      </c>
      <c r="F19" s="204"/>
      <c r="G19" s="249">
        <v>400</v>
      </c>
      <c r="H19" s="232"/>
      <c r="I19" s="249">
        <v>400</v>
      </c>
      <c r="J19" s="256">
        <v>0</v>
      </c>
      <c r="K19" s="195">
        <v>500</v>
      </c>
      <c r="L19" s="285">
        <f t="shared" si="0"/>
        <v>500</v>
      </c>
      <c r="M19" s="233"/>
      <c r="N19" s="274">
        <f t="shared" si="1"/>
        <v>1</v>
      </c>
      <c r="O19" s="222"/>
      <c r="P19" s="222" t="s">
        <v>138</v>
      </c>
      <c r="Q19" s="173"/>
      <c r="T19" s="61"/>
    </row>
    <row r="20" spans="1:25" ht="15">
      <c r="A20" s="222" t="s">
        <v>139</v>
      </c>
      <c r="B20" s="222"/>
      <c r="C20" s="222"/>
      <c r="D20" s="222"/>
      <c r="E20" s="195"/>
      <c r="F20" s="204"/>
      <c r="G20" s="249"/>
      <c r="H20" s="232"/>
      <c r="I20" s="249"/>
      <c r="J20" s="256"/>
      <c r="K20" s="195">
        <v>438</v>
      </c>
      <c r="L20" s="285">
        <f t="shared" si="0"/>
        <v>438</v>
      </c>
      <c r="M20" s="233"/>
      <c r="N20" s="274">
        <f t="shared" si="1"/>
        <v>1</v>
      </c>
      <c r="O20" s="222"/>
      <c r="P20" s="222"/>
      <c r="Q20" s="173"/>
      <c r="T20" s="61"/>
    </row>
    <row r="21" spans="1:25" ht="15">
      <c r="A21" s="222" t="s">
        <v>14</v>
      </c>
      <c r="B21" s="222"/>
      <c r="C21" s="222"/>
      <c r="D21" s="222"/>
      <c r="E21" s="195">
        <v>325</v>
      </c>
      <c r="F21" s="204"/>
      <c r="G21" s="249"/>
      <c r="H21" s="232"/>
      <c r="I21" s="249">
        <v>325</v>
      </c>
      <c r="J21" s="256">
        <v>0</v>
      </c>
      <c r="K21" s="195">
        <v>325</v>
      </c>
      <c r="L21" s="285">
        <f t="shared" si="0"/>
        <v>0</v>
      </c>
      <c r="M21" s="233"/>
      <c r="N21" s="274">
        <f t="shared" si="1"/>
        <v>0</v>
      </c>
      <c r="O21" s="222"/>
      <c r="P21" s="222"/>
      <c r="Q21" s="173"/>
      <c r="T21" s="61"/>
    </row>
    <row r="22" spans="1:25" ht="15">
      <c r="A22" s="222" t="s">
        <v>15</v>
      </c>
      <c r="B22" s="222"/>
      <c r="C22" s="222"/>
      <c r="D22" s="222"/>
      <c r="E22" s="195">
        <v>626</v>
      </c>
      <c r="F22" s="204"/>
      <c r="G22" s="249">
        <v>632</v>
      </c>
      <c r="H22" s="232"/>
      <c r="I22" s="249">
        <v>-6</v>
      </c>
      <c r="J22" s="256">
        <v>0</v>
      </c>
      <c r="K22" s="195">
        <v>632</v>
      </c>
      <c r="L22" s="285">
        <f t="shared" si="0"/>
        <v>6</v>
      </c>
      <c r="M22" s="233"/>
      <c r="N22" s="274">
        <f t="shared" si="1"/>
        <v>9.4936708860759497E-3</v>
      </c>
      <c r="O22" s="222"/>
      <c r="P22" s="222"/>
      <c r="Q22" s="173"/>
      <c r="R22" s="12"/>
      <c r="T22" s="61"/>
    </row>
    <row r="23" spans="1:25" s="25" customFormat="1" ht="15">
      <c r="A23" s="222" t="s">
        <v>16</v>
      </c>
      <c r="B23" s="222"/>
      <c r="C23" s="222"/>
      <c r="D23" s="222"/>
      <c r="E23" s="195">
        <v>450</v>
      </c>
      <c r="F23" s="204"/>
      <c r="G23" s="249">
        <v>262</v>
      </c>
      <c r="H23" s="232"/>
      <c r="I23" s="249">
        <v>350</v>
      </c>
      <c r="J23" s="256">
        <v>0</v>
      </c>
      <c r="K23" s="195">
        <v>350</v>
      </c>
      <c r="L23" s="285">
        <f t="shared" si="0"/>
        <v>-100</v>
      </c>
      <c r="M23" s="233">
        <v>100</v>
      </c>
      <c r="N23" s="274">
        <f t="shared" si="1"/>
        <v>-0.2857142857142857</v>
      </c>
      <c r="O23" s="222"/>
      <c r="P23" s="222"/>
      <c r="Q23" s="173"/>
      <c r="R23" s="166"/>
      <c r="T23" s="61"/>
    </row>
    <row r="24" spans="1:25" s="25" customFormat="1" ht="15">
      <c r="A24" s="228" t="s">
        <v>130</v>
      </c>
      <c r="B24" s="228"/>
      <c r="C24" s="228"/>
      <c r="D24" s="228"/>
      <c r="E24" s="193">
        <v>400</v>
      </c>
      <c r="F24" s="205"/>
      <c r="G24" s="234">
        <v>400</v>
      </c>
      <c r="H24" s="230"/>
      <c r="I24" s="234">
        <v>400</v>
      </c>
      <c r="J24" s="256">
        <v>0</v>
      </c>
      <c r="K24" s="193">
        <v>100</v>
      </c>
      <c r="L24" s="285">
        <f t="shared" si="0"/>
        <v>-300</v>
      </c>
      <c r="M24" s="231"/>
      <c r="N24" s="274">
        <f t="shared" si="1"/>
        <v>-3</v>
      </c>
      <c r="O24" s="228"/>
      <c r="P24" s="228"/>
      <c r="Q24" s="177"/>
      <c r="R24" s="166"/>
      <c r="T24" s="61"/>
    </row>
    <row r="25" spans="1:25" ht="15">
      <c r="A25" s="228"/>
      <c r="B25" s="228"/>
      <c r="C25" s="228"/>
      <c r="D25" s="228"/>
      <c r="E25" s="193"/>
      <c r="F25" s="205"/>
      <c r="G25" s="252"/>
      <c r="H25" s="230"/>
      <c r="I25" s="210"/>
      <c r="J25" s="256"/>
      <c r="K25" s="197"/>
      <c r="L25" s="286"/>
      <c r="M25" s="231"/>
      <c r="N25" s="274"/>
      <c r="O25" s="228"/>
      <c r="P25" s="228"/>
      <c r="Q25" s="177"/>
      <c r="R25" s="130"/>
      <c r="S25" s="139"/>
      <c r="T25" s="136"/>
      <c r="U25" s="139"/>
      <c r="V25" s="139"/>
      <c r="W25" s="139"/>
      <c r="X25" s="139"/>
      <c r="Y25" s="139"/>
    </row>
    <row r="26" spans="1:25" ht="15">
      <c r="A26" s="235"/>
      <c r="B26" s="235"/>
      <c r="C26" s="235"/>
      <c r="D26" s="198" t="s">
        <v>18</v>
      </c>
      <c r="E26" s="199">
        <v>32065</v>
      </c>
      <c r="F26" s="200"/>
      <c r="G26" s="250">
        <v>19279.2</v>
      </c>
      <c r="H26" s="201"/>
      <c r="I26" s="250">
        <v>31410.71</v>
      </c>
      <c r="J26" s="258"/>
      <c r="K26" s="202">
        <v>33373.120000000003</v>
      </c>
      <c r="L26" s="287"/>
      <c r="M26" s="203">
        <v>525</v>
      </c>
      <c r="N26" s="275"/>
      <c r="O26" s="235"/>
      <c r="P26" s="235"/>
      <c r="Q26" s="179">
        <v>4.0795883361921102E-2</v>
      </c>
      <c r="T26" s="25"/>
    </row>
    <row r="27" spans="1:25" ht="15">
      <c r="A27" s="222"/>
      <c r="B27" s="222"/>
      <c r="C27" s="222"/>
      <c r="D27" s="222"/>
      <c r="E27" s="208"/>
      <c r="F27" s="204"/>
      <c r="G27" s="251"/>
      <c r="H27" s="225"/>
      <c r="I27" s="223"/>
      <c r="J27" s="256"/>
      <c r="K27" s="195"/>
      <c r="L27" s="224"/>
      <c r="M27" s="233"/>
      <c r="N27" s="276"/>
      <c r="O27" s="236"/>
      <c r="P27" s="222"/>
      <c r="Q27" s="173"/>
      <c r="T27" s="25"/>
    </row>
    <row r="28" spans="1:25" ht="15">
      <c r="A28" s="213" t="s">
        <v>5</v>
      </c>
      <c r="B28" s="222"/>
      <c r="C28" s="222"/>
      <c r="D28" s="222"/>
      <c r="E28" s="208"/>
      <c r="F28" s="204"/>
      <c r="G28" s="251"/>
      <c r="H28" s="225"/>
      <c r="I28" s="223"/>
      <c r="J28" s="256"/>
      <c r="K28" s="195"/>
      <c r="L28" s="224"/>
      <c r="M28" s="233"/>
      <c r="N28" s="276"/>
      <c r="O28" s="236"/>
      <c r="P28" s="222"/>
      <c r="Q28" s="173"/>
      <c r="R28" s="12"/>
      <c r="T28" s="61"/>
    </row>
    <row r="29" spans="1:25" ht="15">
      <c r="A29" s="222" t="s">
        <v>26</v>
      </c>
      <c r="B29" s="222"/>
      <c r="C29" s="222"/>
      <c r="D29" s="222"/>
      <c r="E29" s="195">
        <v>2250</v>
      </c>
      <c r="F29" s="204"/>
      <c r="G29" s="249">
        <v>1567.7</v>
      </c>
      <c r="H29" s="196"/>
      <c r="I29" s="249">
        <v>2250</v>
      </c>
      <c r="J29" s="256">
        <v>0</v>
      </c>
      <c r="K29" s="195">
        <v>2250</v>
      </c>
      <c r="L29" s="285">
        <f t="shared" ref="L29:L38" si="2">+K29-E29</f>
        <v>0</v>
      </c>
      <c r="M29" s="237"/>
      <c r="N29" s="274">
        <f t="shared" ref="N29:N39" si="3">+L29/K29</f>
        <v>0</v>
      </c>
      <c r="O29" s="222"/>
      <c r="P29" s="222"/>
      <c r="Q29" s="173"/>
      <c r="T29" s="61"/>
    </row>
    <row r="30" spans="1:25" ht="15">
      <c r="A30" s="222" t="s">
        <v>27</v>
      </c>
      <c r="B30" s="222"/>
      <c r="C30" s="222"/>
      <c r="D30" s="222"/>
      <c r="E30" s="195">
        <v>900</v>
      </c>
      <c r="F30" s="204"/>
      <c r="G30" s="249">
        <v>750</v>
      </c>
      <c r="H30" s="196"/>
      <c r="I30" s="249">
        <v>900</v>
      </c>
      <c r="J30" s="256">
        <v>0</v>
      </c>
      <c r="K30" s="195">
        <v>1200</v>
      </c>
      <c r="L30" s="285">
        <f t="shared" si="2"/>
        <v>300</v>
      </c>
      <c r="M30" s="233"/>
      <c r="N30" s="274">
        <f t="shared" si="3"/>
        <v>0.25</v>
      </c>
      <c r="O30" s="222"/>
      <c r="P30" s="222"/>
      <c r="Q30" s="173"/>
      <c r="T30" s="61"/>
    </row>
    <row r="31" spans="1:25" ht="15">
      <c r="A31" s="222" t="s">
        <v>28</v>
      </c>
      <c r="B31" s="222"/>
      <c r="C31" s="222"/>
      <c r="D31" s="222"/>
      <c r="E31" s="195" t="s">
        <v>121</v>
      </c>
      <c r="F31" s="204"/>
      <c r="G31" s="249"/>
      <c r="H31" s="196"/>
      <c r="I31" s="249" t="s">
        <v>121</v>
      </c>
      <c r="J31" s="256" t="s">
        <v>121</v>
      </c>
      <c r="K31" s="195" t="s">
        <v>121</v>
      </c>
      <c r="L31" s="285" t="s">
        <v>121</v>
      </c>
      <c r="M31" s="237"/>
      <c r="N31" s="274" t="s">
        <v>121</v>
      </c>
      <c r="O31" s="222"/>
      <c r="P31" s="222"/>
      <c r="Q31" s="173"/>
      <c r="T31" s="61"/>
    </row>
    <row r="32" spans="1:25" ht="15">
      <c r="A32" s="222" t="s">
        <v>6</v>
      </c>
      <c r="B32" s="222"/>
      <c r="C32" s="222"/>
      <c r="D32" s="222"/>
      <c r="E32" s="195">
        <v>750</v>
      </c>
      <c r="F32" s="204"/>
      <c r="G32" s="249">
        <v>73.5</v>
      </c>
      <c r="H32" s="196"/>
      <c r="I32" s="249">
        <v>750</v>
      </c>
      <c r="J32" s="256">
        <v>-0.25</v>
      </c>
      <c r="K32" s="195">
        <v>0</v>
      </c>
      <c r="L32" s="285">
        <f t="shared" si="2"/>
        <v>-750</v>
      </c>
      <c r="M32" s="231">
        <v>676.5</v>
      </c>
      <c r="N32" s="274" t="s">
        <v>121</v>
      </c>
      <c r="O32" s="222"/>
      <c r="P32" s="222"/>
      <c r="Q32" s="173"/>
      <c r="T32" s="61"/>
    </row>
    <row r="33" spans="1:25" ht="15">
      <c r="A33" s="222" t="s">
        <v>7</v>
      </c>
      <c r="B33" s="222"/>
      <c r="C33" s="222"/>
      <c r="D33" s="222"/>
      <c r="E33" s="195">
        <v>0</v>
      </c>
      <c r="F33" s="204"/>
      <c r="G33" s="249"/>
      <c r="H33" s="196"/>
      <c r="I33" s="249">
        <v>0</v>
      </c>
      <c r="J33" s="256"/>
      <c r="K33" s="195">
        <v>500</v>
      </c>
      <c r="L33" s="285">
        <f t="shared" si="2"/>
        <v>500</v>
      </c>
      <c r="M33" s="237"/>
      <c r="N33" s="274">
        <f t="shared" si="3"/>
        <v>1</v>
      </c>
      <c r="O33" s="222"/>
      <c r="P33" s="222"/>
      <c r="Q33" s="173"/>
      <c r="T33" s="61"/>
    </row>
    <row r="34" spans="1:25" ht="15">
      <c r="A34" s="222" t="s">
        <v>29</v>
      </c>
      <c r="B34" s="222"/>
      <c r="C34" s="222"/>
      <c r="D34" s="222"/>
      <c r="E34" s="195">
        <v>325</v>
      </c>
      <c r="F34" s="204"/>
      <c r="G34" s="249">
        <v>325</v>
      </c>
      <c r="H34" s="196"/>
      <c r="I34" s="249">
        <v>325</v>
      </c>
      <c r="J34" s="256">
        <v>0</v>
      </c>
      <c r="K34" s="195">
        <v>325</v>
      </c>
      <c r="L34" s="285">
        <f t="shared" si="2"/>
        <v>0</v>
      </c>
      <c r="M34" s="237"/>
      <c r="N34" s="274">
        <f t="shared" si="3"/>
        <v>0</v>
      </c>
      <c r="O34" s="222"/>
      <c r="P34" s="222"/>
      <c r="Q34" s="173"/>
      <c r="R34" s="25"/>
      <c r="S34" s="25"/>
      <c r="T34" s="61"/>
      <c r="U34" s="25"/>
      <c r="V34" s="25"/>
      <c r="W34" s="25"/>
      <c r="X34" s="25"/>
      <c r="Y34" s="25"/>
    </row>
    <row r="35" spans="1:25" s="155" customFormat="1" ht="15">
      <c r="A35" s="228" t="s">
        <v>30</v>
      </c>
      <c r="B35" s="228"/>
      <c r="C35" s="228"/>
      <c r="D35" s="228"/>
      <c r="E35" s="193">
        <v>3000</v>
      </c>
      <c r="F35" s="205"/>
      <c r="G35" s="234">
        <v>4278.5</v>
      </c>
      <c r="H35" s="194"/>
      <c r="I35" s="234">
        <v>4278.5</v>
      </c>
      <c r="J35" s="256">
        <v>0</v>
      </c>
      <c r="K35" s="193">
        <v>3000</v>
      </c>
      <c r="L35" s="285">
        <f t="shared" si="2"/>
        <v>0</v>
      </c>
      <c r="M35" s="231"/>
      <c r="N35" s="274">
        <f t="shared" si="3"/>
        <v>0</v>
      </c>
      <c r="O35" s="228"/>
      <c r="P35" s="228"/>
      <c r="Q35" s="181"/>
      <c r="T35" s="171"/>
    </row>
    <row r="36" spans="1:25" s="155" customFormat="1" ht="15">
      <c r="A36" s="228" t="s">
        <v>129</v>
      </c>
      <c r="B36" s="228"/>
      <c r="C36" s="228"/>
      <c r="D36" s="228"/>
      <c r="E36" s="193">
        <v>3000</v>
      </c>
      <c r="F36" s="205"/>
      <c r="G36" s="234"/>
      <c r="H36" s="194"/>
      <c r="I36" s="234">
        <v>3000</v>
      </c>
      <c r="J36" s="256"/>
      <c r="K36" s="193">
        <v>1500</v>
      </c>
      <c r="L36" s="285">
        <f t="shared" si="2"/>
        <v>-1500</v>
      </c>
      <c r="M36" s="231"/>
      <c r="N36" s="274">
        <f t="shared" si="3"/>
        <v>-1</v>
      </c>
      <c r="O36" s="228"/>
      <c r="P36" s="228" t="s">
        <v>140</v>
      </c>
      <c r="Q36" s="181"/>
      <c r="T36" s="171"/>
    </row>
    <row r="37" spans="1:25" ht="15">
      <c r="A37" s="228" t="s">
        <v>131</v>
      </c>
      <c r="B37" s="228"/>
      <c r="C37" s="228"/>
      <c r="D37" s="228"/>
      <c r="E37" s="193">
        <v>2500</v>
      </c>
      <c r="F37" s="205"/>
      <c r="G37" s="234"/>
      <c r="H37" s="194"/>
      <c r="I37" s="234">
        <v>2500</v>
      </c>
      <c r="J37" s="256"/>
      <c r="K37" s="193">
        <v>1250</v>
      </c>
      <c r="L37" s="285">
        <f t="shared" si="2"/>
        <v>-1250</v>
      </c>
      <c r="M37" s="231"/>
      <c r="N37" s="274">
        <f t="shared" si="3"/>
        <v>-1</v>
      </c>
      <c r="O37" s="228"/>
      <c r="P37" s="228" t="s">
        <v>140</v>
      </c>
      <c r="Q37" s="182"/>
    </row>
    <row r="38" spans="1:25" ht="39.75" customHeight="1">
      <c r="A38" s="222" t="s">
        <v>31</v>
      </c>
      <c r="B38" s="222"/>
      <c r="C38" s="222"/>
      <c r="D38" s="222"/>
      <c r="E38" s="195">
        <v>840</v>
      </c>
      <c r="F38" s="204"/>
      <c r="G38" s="249">
        <v>490</v>
      </c>
      <c r="H38" s="196"/>
      <c r="I38" s="249">
        <v>840</v>
      </c>
      <c r="J38" s="256">
        <v>0</v>
      </c>
      <c r="K38" s="195">
        <v>840</v>
      </c>
      <c r="L38" s="285">
        <f t="shared" si="2"/>
        <v>0</v>
      </c>
      <c r="M38" s="237"/>
      <c r="N38" s="273"/>
      <c r="O38" s="222"/>
      <c r="P38" s="222"/>
      <c r="Q38" s="173"/>
      <c r="R38" s="130"/>
      <c r="S38" s="130"/>
      <c r="T38" s="136"/>
      <c r="U38" s="130"/>
      <c r="V38" s="130"/>
      <c r="W38" s="138"/>
      <c r="X38" s="138"/>
      <c r="Y38" s="138"/>
    </row>
    <row r="39" spans="1:25" ht="15">
      <c r="A39" s="198"/>
      <c r="B39" s="198"/>
      <c r="C39" s="198"/>
      <c r="D39" s="198" t="s">
        <v>18</v>
      </c>
      <c r="E39" s="199">
        <v>13565</v>
      </c>
      <c r="F39" s="206"/>
      <c r="G39" s="250">
        <v>7484.7</v>
      </c>
      <c r="H39" s="201"/>
      <c r="I39" s="250">
        <v>14843.5</v>
      </c>
      <c r="J39" s="258"/>
      <c r="K39" s="202">
        <v>10865</v>
      </c>
      <c r="L39" s="288"/>
      <c r="M39" s="203">
        <v>676.5</v>
      </c>
      <c r="N39" s="274">
        <f t="shared" si="3"/>
        <v>0</v>
      </c>
      <c r="O39" s="198"/>
      <c r="P39" s="198"/>
      <c r="Q39" s="179">
        <v>-0.19904165130851501</v>
      </c>
    </row>
    <row r="40" spans="1:25" ht="15">
      <c r="A40" s="222"/>
      <c r="B40" s="222"/>
      <c r="C40" s="222"/>
      <c r="D40" s="222"/>
      <c r="E40" s="208"/>
      <c r="F40" s="204"/>
      <c r="G40" s="253"/>
      <c r="H40" s="238"/>
      <c r="I40" s="220"/>
      <c r="J40" s="257"/>
      <c r="K40" s="207"/>
      <c r="L40" s="224"/>
      <c r="M40" s="239"/>
      <c r="N40" s="273"/>
      <c r="O40" s="222"/>
      <c r="P40" s="222"/>
      <c r="Q40" s="173"/>
    </row>
    <row r="41" spans="1:25" ht="15">
      <c r="A41" s="222"/>
      <c r="B41" s="222"/>
      <c r="C41" s="222"/>
      <c r="D41" s="222"/>
      <c r="E41" s="208"/>
      <c r="F41" s="214"/>
      <c r="G41" s="226"/>
      <c r="H41" s="219"/>
      <c r="I41" s="223"/>
      <c r="J41" s="256"/>
      <c r="K41" s="191"/>
      <c r="L41" s="218"/>
      <c r="M41" s="224"/>
      <c r="N41" s="273"/>
      <c r="O41" s="222"/>
      <c r="P41" s="222"/>
      <c r="Q41" s="173"/>
    </row>
    <row r="42" spans="1:25" ht="15">
      <c r="A42" s="222"/>
      <c r="B42" s="222"/>
      <c r="C42" s="222"/>
      <c r="D42" s="222"/>
      <c r="E42" s="208"/>
      <c r="F42" s="214"/>
      <c r="G42" s="226" t="s">
        <v>19</v>
      </c>
      <c r="H42" s="226"/>
      <c r="I42" s="217" t="s">
        <v>20</v>
      </c>
      <c r="J42" s="257"/>
      <c r="K42" s="191"/>
      <c r="L42" s="224"/>
      <c r="M42" s="224"/>
      <c r="N42" s="273"/>
      <c r="O42" s="222"/>
      <c r="P42" s="227"/>
      <c r="Q42" s="173"/>
    </row>
    <row r="43" spans="1:25" ht="15">
      <c r="A43" s="213" t="s">
        <v>8</v>
      </c>
      <c r="B43" s="222"/>
      <c r="C43" s="222"/>
      <c r="D43" s="222"/>
      <c r="E43" s="115"/>
      <c r="F43" s="204"/>
      <c r="G43" s="254"/>
      <c r="H43" s="232"/>
      <c r="I43" s="249"/>
      <c r="J43" s="256"/>
      <c r="K43" s="191"/>
      <c r="L43" s="224"/>
      <c r="M43" s="240"/>
      <c r="N43" s="273"/>
      <c r="O43" s="222"/>
      <c r="P43" s="222"/>
      <c r="Q43" s="173"/>
      <c r="T43" s="61"/>
    </row>
    <row r="44" spans="1:25" ht="15">
      <c r="A44" s="222" t="s">
        <v>32</v>
      </c>
      <c r="B44" s="222"/>
      <c r="C44" s="222"/>
      <c r="D44" s="222"/>
      <c r="E44" s="195">
        <v>1280</v>
      </c>
      <c r="F44" s="204"/>
      <c r="G44" s="249">
        <v>593.24</v>
      </c>
      <c r="H44" s="196"/>
      <c r="I44" s="249">
        <v>1280</v>
      </c>
      <c r="J44" s="256">
        <v>0</v>
      </c>
      <c r="K44" s="195">
        <v>1319</v>
      </c>
      <c r="L44" s="285">
        <f t="shared" ref="L44:L45" si="4">+K44-E44</f>
        <v>39</v>
      </c>
      <c r="M44" s="224"/>
      <c r="N44" s="274">
        <f t="shared" ref="N44:N45" si="5">+L44/K44</f>
        <v>2.9567854435178165E-2</v>
      </c>
      <c r="O44" s="222"/>
      <c r="P44" s="222"/>
      <c r="Q44" s="173"/>
      <c r="R44" s="12"/>
      <c r="T44" s="61"/>
    </row>
    <row r="45" spans="1:25" ht="15.75" customHeight="1">
      <c r="A45" s="222" t="s">
        <v>33</v>
      </c>
      <c r="B45" s="222"/>
      <c r="C45" s="222"/>
      <c r="D45" s="222"/>
      <c r="E45" s="195">
        <v>1080</v>
      </c>
      <c r="F45" s="204"/>
      <c r="G45" s="249">
        <v>755.37</v>
      </c>
      <c r="H45" s="196"/>
      <c r="I45" s="249">
        <v>1080</v>
      </c>
      <c r="J45" s="256">
        <v>0</v>
      </c>
      <c r="K45" s="195">
        <v>1113</v>
      </c>
      <c r="L45" s="285">
        <f t="shared" si="4"/>
        <v>33</v>
      </c>
      <c r="M45" s="241"/>
      <c r="N45" s="274">
        <f t="shared" si="5"/>
        <v>2.9649595687331536E-2</v>
      </c>
      <c r="O45" s="222"/>
      <c r="P45" s="222"/>
      <c r="Q45" s="173"/>
      <c r="R45" s="130"/>
      <c r="S45" s="139"/>
      <c r="T45" s="142"/>
      <c r="U45" s="139"/>
      <c r="V45" s="139"/>
      <c r="W45" s="139"/>
      <c r="X45" s="139"/>
      <c r="Y45" s="139"/>
    </row>
    <row r="46" spans="1:25" ht="38.25" customHeight="1">
      <c r="A46" s="235"/>
      <c r="B46" s="235"/>
      <c r="C46" s="235"/>
      <c r="D46" s="198" t="s">
        <v>18</v>
      </c>
      <c r="E46" s="199">
        <v>2360</v>
      </c>
      <c r="F46" s="200"/>
      <c r="G46" s="250">
        <v>1348.61</v>
      </c>
      <c r="H46" s="201"/>
      <c r="I46" s="250">
        <v>2360</v>
      </c>
      <c r="J46" s="258"/>
      <c r="K46" s="202">
        <v>2432</v>
      </c>
      <c r="L46" s="242"/>
      <c r="M46" s="242"/>
      <c r="N46" s="275"/>
      <c r="O46" s="235"/>
      <c r="P46" s="235"/>
      <c r="Q46" s="179">
        <v>3.0508474576271101E-2</v>
      </c>
      <c r="R46" s="5"/>
      <c r="T46" s="25"/>
    </row>
    <row r="47" spans="1:25" ht="15">
      <c r="A47" s="213" t="s">
        <v>9</v>
      </c>
      <c r="B47" s="222"/>
      <c r="C47" s="222"/>
      <c r="D47" s="222"/>
      <c r="E47" s="195"/>
      <c r="F47" s="204"/>
      <c r="G47" s="223"/>
      <c r="H47" s="204"/>
      <c r="I47" s="223"/>
      <c r="J47" s="256"/>
      <c r="K47" s="195"/>
      <c r="L47" s="241"/>
      <c r="M47" s="243"/>
      <c r="N47" s="273"/>
      <c r="O47" s="222"/>
      <c r="P47" s="222"/>
      <c r="Q47" s="180"/>
      <c r="R47" s="4"/>
      <c r="T47" s="61"/>
    </row>
    <row r="48" spans="1:25" ht="15">
      <c r="A48" s="222" t="s">
        <v>101</v>
      </c>
      <c r="B48" s="222"/>
      <c r="C48" s="222"/>
      <c r="D48" s="222"/>
      <c r="E48" s="195">
        <v>150</v>
      </c>
      <c r="F48" s="204"/>
      <c r="G48" s="249"/>
      <c r="H48" s="196"/>
      <c r="I48" s="249">
        <v>150</v>
      </c>
      <c r="J48" s="256">
        <v>0</v>
      </c>
      <c r="K48" s="195">
        <v>150</v>
      </c>
      <c r="L48" s="285">
        <f t="shared" ref="L48:L51" si="6">+K48-E48</f>
        <v>0</v>
      </c>
      <c r="M48" s="244"/>
      <c r="N48" s="274">
        <f t="shared" ref="N48:N51" si="7">+L48/K48</f>
        <v>0</v>
      </c>
      <c r="O48" s="222"/>
      <c r="P48" s="222"/>
      <c r="Q48" s="183"/>
      <c r="T48" s="61"/>
    </row>
    <row r="49" spans="1:25" ht="15">
      <c r="A49" s="222" t="s">
        <v>34</v>
      </c>
      <c r="B49" s="222"/>
      <c r="C49" s="222"/>
      <c r="D49" s="213"/>
      <c r="E49" s="195">
        <v>125</v>
      </c>
      <c r="F49" s="204"/>
      <c r="G49" s="249">
        <v>120</v>
      </c>
      <c r="H49" s="196"/>
      <c r="I49" s="249">
        <v>125</v>
      </c>
      <c r="J49" s="256">
        <v>0</v>
      </c>
      <c r="K49" s="195">
        <v>125</v>
      </c>
      <c r="L49" s="285">
        <f t="shared" si="6"/>
        <v>0</v>
      </c>
      <c r="M49" s="244">
        <v>5</v>
      </c>
      <c r="N49" s="274">
        <f t="shared" si="7"/>
        <v>0</v>
      </c>
      <c r="O49" s="222"/>
      <c r="P49" s="222"/>
      <c r="Q49" s="178"/>
      <c r="T49" s="61"/>
    </row>
    <row r="50" spans="1:25" ht="15">
      <c r="A50" s="222" t="s">
        <v>10</v>
      </c>
      <c r="B50" s="222"/>
      <c r="C50" s="222"/>
      <c r="D50" s="222"/>
      <c r="E50" s="195">
        <v>25</v>
      </c>
      <c r="F50" s="204"/>
      <c r="G50" s="249"/>
      <c r="H50" s="196"/>
      <c r="I50" s="249">
        <v>25</v>
      </c>
      <c r="J50" s="256">
        <v>0</v>
      </c>
      <c r="K50" s="195">
        <v>25</v>
      </c>
      <c r="L50" s="285">
        <f t="shared" si="6"/>
        <v>0</v>
      </c>
      <c r="M50" s="244">
        <v>25</v>
      </c>
      <c r="N50" s="274">
        <f t="shared" si="7"/>
        <v>0</v>
      </c>
      <c r="O50" s="222"/>
      <c r="P50" s="222"/>
      <c r="Q50" s="178"/>
      <c r="T50" s="61"/>
    </row>
    <row r="51" spans="1:25" ht="15">
      <c r="A51" s="222" t="s">
        <v>11</v>
      </c>
      <c r="B51" s="222"/>
      <c r="C51" s="222"/>
      <c r="D51" s="222"/>
      <c r="E51" s="195">
        <v>600</v>
      </c>
      <c r="F51" s="204"/>
      <c r="G51" s="249">
        <v>570.6</v>
      </c>
      <c r="H51" s="196"/>
      <c r="I51" s="249">
        <v>600</v>
      </c>
      <c r="J51" s="256">
        <v>0</v>
      </c>
      <c r="K51" s="195">
        <v>600</v>
      </c>
      <c r="L51" s="285">
        <f t="shared" si="6"/>
        <v>0</v>
      </c>
      <c r="M51" s="243">
        <v>29.4</v>
      </c>
      <c r="N51" s="274">
        <f t="shared" si="7"/>
        <v>0</v>
      </c>
      <c r="O51" s="222"/>
      <c r="P51" s="222"/>
      <c r="Q51" s="183"/>
    </row>
    <row r="52" spans="1:25" ht="15">
      <c r="A52" s="222"/>
      <c r="B52" s="222"/>
      <c r="C52" s="222"/>
      <c r="D52" s="222"/>
      <c r="E52" s="208"/>
      <c r="F52" s="204"/>
      <c r="G52" s="223"/>
      <c r="H52" s="204"/>
      <c r="I52" s="223"/>
      <c r="J52" s="259"/>
      <c r="K52" s="208"/>
      <c r="L52" s="241"/>
      <c r="M52" s="241"/>
      <c r="N52" s="273"/>
      <c r="O52" s="222"/>
      <c r="P52" s="222"/>
      <c r="Q52" s="173"/>
      <c r="R52" s="130"/>
      <c r="S52" s="139"/>
      <c r="T52" s="139"/>
      <c r="U52" s="139"/>
      <c r="V52" s="139"/>
      <c r="W52" s="139"/>
      <c r="X52" s="139"/>
      <c r="Y52" s="139"/>
    </row>
    <row r="53" spans="1:25" ht="15">
      <c r="A53" s="235"/>
      <c r="B53" s="235"/>
      <c r="C53" s="235"/>
      <c r="D53" s="198" t="s">
        <v>18</v>
      </c>
      <c r="E53" s="199">
        <v>900</v>
      </c>
      <c r="F53" s="200"/>
      <c r="G53" s="250">
        <v>690.6</v>
      </c>
      <c r="H53" s="201"/>
      <c r="I53" s="250">
        <v>900</v>
      </c>
      <c r="J53" s="258"/>
      <c r="K53" s="202">
        <v>900</v>
      </c>
      <c r="L53" s="242"/>
      <c r="M53" s="209">
        <v>59.4</v>
      </c>
      <c r="N53" s="275"/>
      <c r="O53" s="235"/>
      <c r="P53" s="235"/>
      <c r="Q53" s="179">
        <v>0</v>
      </c>
    </row>
    <row r="54" spans="1:25" ht="15">
      <c r="A54" s="222"/>
      <c r="B54" s="222"/>
      <c r="C54" s="222"/>
      <c r="D54" s="222"/>
      <c r="E54" s="195"/>
      <c r="F54" s="204"/>
      <c r="G54" s="223"/>
      <c r="H54" s="204"/>
      <c r="I54" s="223"/>
      <c r="J54" s="256"/>
      <c r="K54" s="195"/>
      <c r="L54" s="241"/>
      <c r="M54" s="212"/>
      <c r="N54" s="273"/>
      <c r="O54" s="236"/>
      <c r="P54" s="222"/>
      <c r="Q54" s="173"/>
    </row>
    <row r="55" spans="1:25" ht="15">
      <c r="A55" s="213" t="s">
        <v>25</v>
      </c>
      <c r="B55" s="222"/>
      <c r="C55" s="222"/>
      <c r="D55" s="222"/>
      <c r="E55" s="195"/>
      <c r="F55" s="204"/>
      <c r="G55" s="223"/>
      <c r="H55" s="204"/>
      <c r="I55" s="223"/>
      <c r="J55" s="256"/>
      <c r="K55" s="195"/>
      <c r="L55" s="241"/>
      <c r="M55" s="243"/>
      <c r="N55" s="276"/>
      <c r="O55" s="236"/>
      <c r="P55" s="222"/>
      <c r="Q55" s="173"/>
      <c r="R55" s="12"/>
      <c r="T55" s="61"/>
    </row>
    <row r="56" spans="1:25" ht="15">
      <c r="A56" s="222" t="s">
        <v>92</v>
      </c>
      <c r="B56" s="222"/>
      <c r="C56" s="222"/>
      <c r="D56" s="222"/>
      <c r="E56" s="195">
        <v>150</v>
      </c>
      <c r="F56" s="204"/>
      <c r="G56" s="249">
        <v>120</v>
      </c>
      <c r="H56" s="196"/>
      <c r="I56" s="249">
        <v>150</v>
      </c>
      <c r="J56" s="256">
        <v>0</v>
      </c>
      <c r="K56" s="195">
        <v>130</v>
      </c>
      <c r="L56" s="285">
        <f t="shared" ref="L56:L59" si="8">+K56-E56</f>
        <v>-20</v>
      </c>
      <c r="M56" s="243">
        <v>30</v>
      </c>
      <c r="N56" s="274">
        <f t="shared" ref="N56" si="9">+L56/K56</f>
        <v>-0.15384615384615385</v>
      </c>
      <c r="O56" s="222"/>
      <c r="P56" s="222"/>
      <c r="Q56" s="173"/>
      <c r="R56" s="166"/>
      <c r="S56" s="25"/>
      <c r="T56" s="61"/>
      <c r="U56" s="25"/>
      <c r="V56" s="25"/>
      <c r="W56" s="25"/>
      <c r="X56" s="25"/>
      <c r="Y56" s="25"/>
    </row>
    <row r="57" spans="1:25" ht="15">
      <c r="A57" s="228" t="s">
        <v>122</v>
      </c>
      <c r="B57" s="228"/>
      <c r="C57" s="228"/>
      <c r="D57" s="228"/>
      <c r="E57" s="193">
        <v>8000</v>
      </c>
      <c r="F57" s="205"/>
      <c r="G57" s="234"/>
      <c r="H57" s="194"/>
      <c r="I57" s="234"/>
      <c r="J57" s="256">
        <v>0</v>
      </c>
      <c r="K57" s="193"/>
      <c r="L57" s="285">
        <f t="shared" si="8"/>
        <v>-8000</v>
      </c>
      <c r="M57" s="244"/>
      <c r="N57" s="274"/>
      <c r="O57" s="228"/>
      <c r="P57" s="228" t="s">
        <v>140</v>
      </c>
      <c r="Q57" s="177"/>
      <c r="T57" s="61"/>
    </row>
    <row r="58" spans="1:25" s="25" customFormat="1" ht="15">
      <c r="A58" s="228" t="s">
        <v>49</v>
      </c>
      <c r="B58" s="228"/>
      <c r="C58" s="228"/>
      <c r="D58" s="228"/>
      <c r="E58" s="193">
        <v>670</v>
      </c>
      <c r="F58" s="205"/>
      <c r="G58" s="234">
        <v>118.75</v>
      </c>
      <c r="H58" s="194"/>
      <c r="I58" s="234">
        <v>670</v>
      </c>
      <c r="J58" s="256">
        <v>0</v>
      </c>
      <c r="K58" s="210">
        <v>0</v>
      </c>
      <c r="L58" s="285">
        <f t="shared" si="8"/>
        <v>-670</v>
      </c>
      <c r="M58" s="244">
        <v>551.25</v>
      </c>
      <c r="N58" s="274"/>
      <c r="O58" s="228"/>
      <c r="P58" s="228"/>
      <c r="Q58" s="177"/>
      <c r="R58" s="166"/>
      <c r="T58" s="61"/>
    </row>
    <row r="59" spans="1:25" ht="12.75" customHeight="1">
      <c r="A59" s="222"/>
      <c r="B59" s="222"/>
      <c r="C59" s="222"/>
      <c r="D59" s="222"/>
      <c r="E59" s="195">
        <v>0</v>
      </c>
      <c r="F59" s="204"/>
      <c r="G59" s="249"/>
      <c r="H59" s="196"/>
      <c r="I59" s="249">
        <v>0</v>
      </c>
      <c r="J59" s="256">
        <v>0</v>
      </c>
      <c r="K59" s="195">
        <v>0</v>
      </c>
      <c r="L59" s="285">
        <f t="shared" si="8"/>
        <v>0</v>
      </c>
      <c r="M59" s="243"/>
      <c r="N59" s="274"/>
      <c r="O59" s="222"/>
      <c r="P59" s="222"/>
      <c r="Q59" s="173"/>
      <c r="R59" s="12"/>
      <c r="T59" s="61"/>
    </row>
    <row r="60" spans="1:25" ht="15">
      <c r="A60" s="222" t="s">
        <v>141</v>
      </c>
      <c r="B60" s="222"/>
      <c r="C60" s="222"/>
      <c r="D60" s="222"/>
      <c r="E60" s="195">
        <v>2500</v>
      </c>
      <c r="F60" s="204"/>
      <c r="G60" s="249"/>
      <c r="H60" s="196"/>
      <c r="I60" s="249"/>
      <c r="J60" s="256"/>
      <c r="K60" s="195">
        <v>2500</v>
      </c>
      <c r="L60" s="243"/>
      <c r="M60" s="243"/>
      <c r="N60" s="278"/>
      <c r="O60" s="222"/>
      <c r="P60" s="228" t="s">
        <v>140</v>
      </c>
      <c r="Q60" s="173"/>
      <c r="R60" s="12"/>
      <c r="T60" s="61"/>
    </row>
    <row r="61" spans="1:25" ht="32.25" customHeight="1">
      <c r="A61" s="198"/>
      <c r="B61" s="222"/>
      <c r="C61" s="198"/>
      <c r="D61" s="211" t="s">
        <v>17</v>
      </c>
      <c r="E61" s="199">
        <v>11320</v>
      </c>
      <c r="F61" s="206"/>
      <c r="G61" s="250">
        <v>238.75</v>
      </c>
      <c r="H61" s="201"/>
      <c r="I61" s="250">
        <v>820</v>
      </c>
      <c r="J61" s="258"/>
      <c r="K61" s="202">
        <v>130</v>
      </c>
      <c r="L61" s="289"/>
      <c r="M61" s="209">
        <v>581.25</v>
      </c>
      <c r="N61" s="277"/>
      <c r="O61" s="198"/>
      <c r="P61" s="198"/>
      <c r="Q61" s="179">
        <v>-0.98851590106007103</v>
      </c>
      <c r="R61" s="130"/>
      <c r="S61" s="130"/>
      <c r="T61" s="130"/>
      <c r="U61" s="130"/>
      <c r="V61" s="130"/>
      <c r="W61" s="138"/>
      <c r="X61" s="138"/>
      <c r="Y61" s="138"/>
    </row>
    <row r="62" spans="1:25" ht="15">
      <c r="A62" s="222"/>
      <c r="B62" s="222"/>
      <c r="C62" s="222"/>
      <c r="D62" s="222"/>
      <c r="E62" s="195"/>
      <c r="F62" s="204"/>
      <c r="G62" s="249"/>
      <c r="H62" s="196"/>
      <c r="I62" s="249"/>
      <c r="J62" s="256"/>
      <c r="K62" s="207"/>
      <c r="L62" s="224"/>
      <c r="M62" s="243"/>
      <c r="N62" s="273"/>
      <c r="O62" s="222"/>
      <c r="P62" s="222"/>
      <c r="Q62" s="173"/>
      <c r="T62" s="4"/>
    </row>
    <row r="63" spans="1:25" ht="15">
      <c r="A63" s="213" t="s">
        <v>81</v>
      </c>
      <c r="B63" s="222"/>
      <c r="C63" s="222"/>
      <c r="D63" s="222"/>
      <c r="E63" s="195"/>
      <c r="F63" s="204"/>
      <c r="G63" s="223"/>
      <c r="H63" s="204"/>
      <c r="I63" s="223"/>
      <c r="J63" s="256"/>
      <c r="K63" s="195"/>
      <c r="L63" s="224"/>
      <c r="M63" s="243"/>
      <c r="N63" s="276"/>
      <c r="O63" s="222"/>
      <c r="P63" s="222"/>
      <c r="Q63" s="173"/>
    </row>
    <row r="64" spans="1:25" ht="30" customHeight="1">
      <c r="A64" s="198" t="s">
        <v>37</v>
      </c>
      <c r="B64" s="198"/>
      <c r="C64" s="198"/>
      <c r="D64" s="198"/>
      <c r="E64" s="199">
        <v>60210</v>
      </c>
      <c r="F64" s="206"/>
      <c r="G64" s="250">
        <v>0</v>
      </c>
      <c r="H64" s="201"/>
      <c r="I64" s="250">
        <v>50334.21</v>
      </c>
      <c r="J64" s="258"/>
      <c r="K64" s="202">
        <v>47700.12</v>
      </c>
      <c r="L64" s="288"/>
      <c r="M64" s="209">
        <v>1842.15</v>
      </c>
      <c r="N64" s="277"/>
      <c r="O64" s="198"/>
      <c r="P64" s="198"/>
      <c r="Q64" s="184">
        <v>-0.20777080219232699</v>
      </c>
      <c r="R64" s="75"/>
      <c r="S64" s="75"/>
      <c r="T64" s="75"/>
      <c r="U64" s="75"/>
      <c r="V64" s="75"/>
      <c r="W64" s="75"/>
      <c r="X64" s="75"/>
      <c r="Y64" s="75"/>
    </row>
    <row r="65" spans="1:25" ht="44.25" customHeight="1">
      <c r="A65" s="222" t="s">
        <v>38</v>
      </c>
      <c r="B65" s="222"/>
      <c r="C65" s="222"/>
      <c r="D65" s="222"/>
      <c r="E65" s="195"/>
      <c r="F65" s="204"/>
      <c r="G65" s="254"/>
      <c r="H65" s="232"/>
      <c r="I65" s="249"/>
      <c r="J65" s="256"/>
      <c r="K65" s="195"/>
      <c r="L65" s="224"/>
      <c r="M65" s="241"/>
      <c r="N65" s="273"/>
      <c r="O65" s="222"/>
      <c r="P65" s="222"/>
      <c r="Q65" s="185"/>
      <c r="R65" s="3"/>
      <c r="S65" s="3"/>
      <c r="T65" s="3"/>
      <c r="U65" s="3"/>
      <c r="V65" s="3"/>
      <c r="W65" s="3"/>
      <c r="X65" s="3"/>
      <c r="Y65" s="3"/>
    </row>
    <row r="66" spans="1:25" ht="15">
      <c r="A66" s="222" t="s">
        <v>61</v>
      </c>
      <c r="B66" s="222"/>
      <c r="C66" s="222"/>
      <c r="D66" s="222"/>
      <c r="E66" s="195">
        <v>11537.49</v>
      </c>
      <c r="F66" s="204"/>
      <c r="G66" s="254"/>
      <c r="H66" s="232"/>
      <c r="I66" s="249"/>
      <c r="J66" s="256"/>
      <c r="K66" s="195">
        <v>1842.15</v>
      </c>
      <c r="L66" s="224"/>
      <c r="M66" s="212">
        <v>1842.15</v>
      </c>
      <c r="N66" s="273"/>
      <c r="O66" s="222"/>
      <c r="P66" s="222"/>
      <c r="Q66" s="178"/>
      <c r="R66" s="3"/>
      <c r="S66" s="3"/>
      <c r="T66" s="3"/>
      <c r="U66" s="3"/>
      <c r="V66" s="3"/>
      <c r="W66" s="3"/>
      <c r="X66" s="3"/>
      <c r="Y66" s="3"/>
    </row>
    <row r="67" spans="1:25" ht="15">
      <c r="A67" s="222" t="s">
        <v>60</v>
      </c>
      <c r="B67" s="222"/>
      <c r="C67" s="222"/>
      <c r="D67" s="222"/>
      <c r="E67" s="195"/>
      <c r="F67" s="204"/>
      <c r="G67" s="254"/>
      <c r="H67" s="232"/>
      <c r="I67" s="249"/>
      <c r="J67" s="256"/>
      <c r="K67" s="195"/>
      <c r="L67" s="224"/>
      <c r="M67" s="240"/>
      <c r="N67" s="273"/>
      <c r="O67" s="222"/>
      <c r="P67" s="222"/>
      <c r="Q67" s="178"/>
      <c r="R67" s="3"/>
      <c r="S67" s="3"/>
      <c r="T67" s="3"/>
      <c r="U67" s="3"/>
      <c r="V67" s="3"/>
      <c r="W67" s="3"/>
      <c r="X67" s="3"/>
      <c r="Y67" s="3"/>
    </row>
    <row r="68" spans="1:25" ht="15">
      <c r="A68" s="222" t="s">
        <v>39</v>
      </c>
      <c r="B68" s="222"/>
      <c r="C68" s="222"/>
      <c r="D68" s="222"/>
      <c r="E68" s="195"/>
      <c r="F68" s="204"/>
      <c r="G68" s="254"/>
      <c r="H68" s="232"/>
      <c r="I68" s="249"/>
      <c r="J68" s="256"/>
      <c r="K68" s="195"/>
      <c r="L68" s="224"/>
      <c r="M68" s="224"/>
      <c r="N68" s="279"/>
      <c r="O68" s="213"/>
      <c r="P68" s="222"/>
      <c r="Q68" s="178"/>
      <c r="R68" s="3"/>
      <c r="S68" s="3"/>
      <c r="T68" s="3"/>
      <c r="U68" s="3"/>
      <c r="V68" s="3"/>
      <c r="W68" s="3"/>
      <c r="X68" s="3"/>
      <c r="Y68" s="3"/>
    </row>
    <row r="69" spans="1:25" ht="15">
      <c r="A69" s="222"/>
      <c r="B69" s="222"/>
      <c r="C69" s="222"/>
      <c r="D69" s="222"/>
      <c r="E69" s="195"/>
      <c r="F69" s="204"/>
      <c r="G69" s="254"/>
      <c r="H69" s="246"/>
      <c r="I69" s="249"/>
      <c r="J69" s="256"/>
      <c r="K69" s="195"/>
      <c r="L69" s="224"/>
      <c r="M69" s="224"/>
      <c r="N69" s="273"/>
      <c r="O69" s="222"/>
      <c r="P69" s="222"/>
      <c r="Q69" s="178"/>
      <c r="R69" s="3"/>
      <c r="S69" s="3"/>
      <c r="T69" s="3"/>
      <c r="U69" s="3"/>
      <c r="V69" s="3"/>
      <c r="W69" s="3"/>
      <c r="X69" s="3"/>
      <c r="Y69" s="3"/>
    </row>
    <row r="70" spans="1:25" ht="15">
      <c r="A70" s="222"/>
      <c r="B70" s="222" t="s">
        <v>86</v>
      </c>
      <c r="C70" s="222"/>
      <c r="D70" s="222"/>
      <c r="E70" s="195">
        <v>957.96</v>
      </c>
      <c r="F70" s="204"/>
      <c r="G70" s="254"/>
      <c r="H70" s="246"/>
      <c r="I70" s="249"/>
      <c r="J70" s="256">
        <v>-0.25</v>
      </c>
      <c r="K70" s="193"/>
      <c r="L70" s="224"/>
      <c r="M70" s="224"/>
      <c r="N70" s="273"/>
      <c r="O70" s="222"/>
      <c r="P70" s="247"/>
      <c r="Q70" s="178"/>
      <c r="R70" s="3"/>
      <c r="S70" s="3"/>
      <c r="T70" s="3"/>
      <c r="U70" s="3"/>
      <c r="V70" s="3"/>
      <c r="W70" s="3"/>
      <c r="X70" s="3"/>
      <c r="Y70" s="3"/>
    </row>
    <row r="71" spans="1:25" ht="23.25">
      <c r="A71" s="213"/>
      <c r="B71" s="213" t="s">
        <v>142</v>
      </c>
      <c r="C71" s="213"/>
      <c r="D71" s="213"/>
      <c r="E71" s="195">
        <v>47714.55</v>
      </c>
      <c r="F71" s="214"/>
      <c r="G71" s="253"/>
      <c r="H71" s="215"/>
      <c r="I71" s="220"/>
      <c r="J71" s="257"/>
      <c r="K71" s="207">
        <v>45857.97</v>
      </c>
      <c r="L71" s="218"/>
      <c r="M71" s="218"/>
      <c r="N71" s="280">
        <f>+(E71/K71)-1</f>
        <v>4.0485437972941352E-2</v>
      </c>
      <c r="O71" s="270" t="s">
        <v>144</v>
      </c>
      <c r="P71" s="270"/>
      <c r="Q71" s="186"/>
      <c r="R71" s="48"/>
      <c r="S71" s="48"/>
      <c r="T71" s="48"/>
      <c r="U71" s="48"/>
      <c r="V71" s="48"/>
      <c r="W71" s="3"/>
      <c r="X71" s="3"/>
      <c r="Y71" s="3"/>
    </row>
    <row r="72" spans="1:25" ht="77.25" customHeight="1">
      <c r="A72" s="222"/>
      <c r="B72" s="222"/>
      <c r="C72" s="222"/>
      <c r="D72" s="222"/>
      <c r="E72" s="195"/>
      <c r="F72" s="204"/>
      <c r="G72" s="251"/>
      <c r="H72" s="225"/>
      <c r="I72" s="223"/>
      <c r="J72" s="256"/>
      <c r="K72" s="195"/>
      <c r="L72" s="224"/>
      <c r="M72" s="224"/>
      <c r="N72" s="273"/>
      <c r="O72" s="222"/>
      <c r="P72" s="222"/>
      <c r="Q72" s="173"/>
    </row>
    <row r="73" spans="1:25" ht="15">
      <c r="A73" s="214" t="s">
        <v>41</v>
      </c>
      <c r="B73" s="214"/>
      <c r="C73" s="214"/>
      <c r="D73" s="216">
        <v>761.23</v>
      </c>
      <c r="E73" s="208"/>
      <c r="F73" s="216">
        <v>33798</v>
      </c>
      <c r="G73" s="226"/>
      <c r="H73" s="219"/>
      <c r="I73" s="217" t="s">
        <v>24</v>
      </c>
      <c r="J73" s="257"/>
      <c r="K73" s="220">
        <v>44.4</v>
      </c>
      <c r="L73" s="224"/>
      <c r="M73" s="240">
        <v>44.399196037991103</v>
      </c>
      <c r="N73" s="273"/>
      <c r="O73" s="222"/>
      <c r="P73" s="222"/>
      <c r="Q73" s="173"/>
    </row>
    <row r="74" spans="1:25" ht="15">
      <c r="A74" s="214" t="s">
        <v>42</v>
      </c>
      <c r="B74" s="214"/>
      <c r="C74" s="214"/>
      <c r="D74" s="216">
        <v>767.7</v>
      </c>
      <c r="E74" s="208"/>
      <c r="F74" s="216">
        <v>36754</v>
      </c>
      <c r="G74" s="226"/>
      <c r="H74" s="219"/>
      <c r="I74" s="217" t="s">
        <v>24</v>
      </c>
      <c r="J74" s="257"/>
      <c r="K74" s="220">
        <v>48</v>
      </c>
      <c r="L74" s="224"/>
      <c r="M74" s="240">
        <v>47.875472189657401</v>
      </c>
      <c r="N74" s="273"/>
      <c r="O74" s="222"/>
      <c r="P74" s="222"/>
      <c r="Q74" s="173"/>
    </row>
    <row r="75" spans="1:25" ht="15">
      <c r="A75" s="214" t="s">
        <v>43</v>
      </c>
      <c r="B75" s="214"/>
      <c r="C75" s="214"/>
      <c r="D75" s="216">
        <v>767.62</v>
      </c>
      <c r="E75" s="208"/>
      <c r="F75" s="216">
        <v>36846</v>
      </c>
      <c r="G75" s="226"/>
      <c r="H75" s="219"/>
      <c r="I75" s="217" t="s">
        <v>24</v>
      </c>
      <c r="J75" s="257"/>
      <c r="K75" s="220">
        <v>48</v>
      </c>
      <c r="L75" s="224"/>
      <c r="M75" s="240">
        <v>48.000312654698902</v>
      </c>
      <c r="N75" s="273"/>
      <c r="O75" s="222"/>
      <c r="P75" s="222"/>
      <c r="Q75" s="173"/>
    </row>
    <row r="76" spans="1:25" ht="15">
      <c r="A76" s="214" t="s">
        <v>44</v>
      </c>
      <c r="B76" s="214"/>
      <c r="C76" s="214"/>
      <c r="D76" s="216">
        <v>765.25</v>
      </c>
      <c r="E76" s="208"/>
      <c r="F76" s="216">
        <v>36733</v>
      </c>
      <c r="G76" s="226"/>
      <c r="H76" s="219"/>
      <c r="I76" s="217" t="s">
        <v>24</v>
      </c>
      <c r="J76" s="257"/>
      <c r="K76" s="220">
        <v>48</v>
      </c>
      <c r="L76" s="224"/>
      <c r="M76" s="240">
        <v>48.001306762495901</v>
      </c>
      <c r="N76" s="273"/>
      <c r="O76" s="222"/>
      <c r="P76" s="222"/>
      <c r="Q76" s="173"/>
    </row>
    <row r="77" spans="1:25" ht="15">
      <c r="A77" s="214" t="s">
        <v>45</v>
      </c>
      <c r="B77" s="214"/>
      <c r="C77" s="214"/>
      <c r="D77" s="216">
        <v>772.2</v>
      </c>
      <c r="E77" s="208"/>
      <c r="F77" s="216">
        <v>33976</v>
      </c>
      <c r="G77" s="226"/>
      <c r="H77" s="219"/>
      <c r="I77" s="217" t="s">
        <v>24</v>
      </c>
      <c r="J77" s="257"/>
      <c r="K77" s="220">
        <v>44</v>
      </c>
      <c r="L77" s="224"/>
      <c r="M77" s="240">
        <v>43.998963998964001</v>
      </c>
      <c r="N77" s="273"/>
      <c r="O77" s="222"/>
      <c r="P77" s="222"/>
      <c r="Q77" s="173"/>
    </row>
    <row r="78" spans="1:25" ht="15">
      <c r="A78" s="214" t="s">
        <v>46</v>
      </c>
      <c r="B78" s="214"/>
      <c r="C78" s="214"/>
      <c r="D78" s="216">
        <v>771.2</v>
      </c>
      <c r="E78" s="208"/>
      <c r="F78" s="216">
        <v>33932</v>
      </c>
      <c r="G78" s="226"/>
      <c r="H78" s="219"/>
      <c r="I78" s="217" t="s">
        <v>24</v>
      </c>
      <c r="J78" s="257"/>
      <c r="K78" s="220">
        <v>44</v>
      </c>
      <c r="L78" s="224"/>
      <c r="M78" s="240">
        <v>43.998962655601701</v>
      </c>
      <c r="N78" s="273"/>
      <c r="O78" s="222"/>
      <c r="P78" s="222"/>
      <c r="Q78" s="173"/>
    </row>
    <row r="79" spans="1:25" ht="15">
      <c r="A79" s="214" t="s">
        <v>47</v>
      </c>
      <c r="B79" s="214"/>
      <c r="C79" s="214"/>
      <c r="D79" s="216">
        <v>767.7</v>
      </c>
      <c r="E79" s="208"/>
      <c r="F79" s="216">
        <v>37382.080000000002</v>
      </c>
      <c r="G79" s="226"/>
      <c r="H79" s="219"/>
      <c r="I79" s="217" t="s">
        <v>24</v>
      </c>
      <c r="J79" s="257"/>
      <c r="K79" s="220">
        <v>48.69</v>
      </c>
      <c r="L79" s="224"/>
      <c r="M79" s="240">
        <v>48.693604272502299</v>
      </c>
      <c r="N79" s="273"/>
      <c r="O79" s="222"/>
      <c r="P79" s="222"/>
      <c r="Q79" s="173"/>
    </row>
    <row r="80" spans="1:25" ht="15">
      <c r="A80" s="214" t="s">
        <v>40</v>
      </c>
      <c r="B80" s="214"/>
      <c r="C80" s="214"/>
      <c r="D80" s="216">
        <v>769.3</v>
      </c>
      <c r="E80" s="208"/>
      <c r="F80" s="216">
        <v>36926.400000000001</v>
      </c>
      <c r="G80" s="226"/>
      <c r="H80" s="219"/>
      <c r="I80" s="217" t="s">
        <v>24</v>
      </c>
      <c r="J80" s="257"/>
      <c r="K80" s="220">
        <v>48</v>
      </c>
      <c r="L80" s="224"/>
      <c r="M80" s="240">
        <v>48</v>
      </c>
      <c r="N80" s="273"/>
      <c r="O80" s="222"/>
      <c r="P80" s="222"/>
      <c r="Q80" s="173"/>
    </row>
    <row r="81" spans="1:25" ht="15">
      <c r="A81" s="214" t="s">
        <v>83</v>
      </c>
      <c r="B81" s="214"/>
      <c r="C81" s="214"/>
      <c r="D81" s="216">
        <v>767.7</v>
      </c>
      <c r="E81" s="208"/>
      <c r="F81" s="216">
        <v>37614.339999999997</v>
      </c>
      <c r="G81" s="226"/>
      <c r="H81" s="219"/>
      <c r="I81" s="217" t="s">
        <v>24</v>
      </c>
      <c r="J81" s="257"/>
      <c r="K81" s="220">
        <v>48.996144327211098</v>
      </c>
      <c r="L81" s="224"/>
      <c r="M81" s="240">
        <v>48.996144327211098</v>
      </c>
      <c r="N81" s="273"/>
      <c r="O81" s="222"/>
      <c r="P81" s="222"/>
      <c r="Q81" s="173"/>
    </row>
    <row r="82" spans="1:25" ht="15">
      <c r="A82" s="214" t="s">
        <v>94</v>
      </c>
      <c r="B82" s="214"/>
      <c r="C82" s="214"/>
      <c r="D82" s="216">
        <v>770.2</v>
      </c>
      <c r="E82" s="208"/>
      <c r="F82" s="216">
        <v>40708.32</v>
      </c>
      <c r="G82" s="226"/>
      <c r="H82" s="219"/>
      <c r="I82" s="217" t="s">
        <v>24</v>
      </c>
      <c r="J82" s="257"/>
      <c r="K82" s="220">
        <v>52.854219683199197</v>
      </c>
      <c r="L82" s="224"/>
      <c r="M82" s="240">
        <v>52.854219683199197</v>
      </c>
      <c r="N82" s="276"/>
      <c r="O82" s="245"/>
      <c r="P82" s="222"/>
      <c r="Q82" s="173"/>
    </row>
    <row r="83" spans="1:25" ht="15">
      <c r="A83" s="214" t="s">
        <v>102</v>
      </c>
      <c r="B83" s="214"/>
      <c r="C83" s="214"/>
      <c r="D83" s="216"/>
      <c r="E83" s="208"/>
      <c r="F83" s="216"/>
      <c r="G83" s="226"/>
      <c r="H83" s="219"/>
      <c r="I83" s="217"/>
      <c r="J83" s="257"/>
      <c r="K83" s="220"/>
      <c r="L83" s="224"/>
      <c r="M83" s="240"/>
      <c r="N83" s="276"/>
      <c r="O83" s="245"/>
      <c r="P83" s="222"/>
      <c r="Q83" s="173"/>
      <c r="R83" s="1"/>
      <c r="S83" s="1"/>
      <c r="T83" s="1"/>
      <c r="U83" s="1"/>
      <c r="V83" s="1"/>
      <c r="W83" s="1"/>
      <c r="X83" s="1"/>
      <c r="Y83" s="1"/>
    </row>
    <row r="84" spans="1:25" s="84" customFormat="1" ht="15">
      <c r="A84" s="262" t="s">
        <v>126</v>
      </c>
      <c r="B84" s="262"/>
      <c r="C84" s="262"/>
      <c r="D84" s="263">
        <v>770.2</v>
      </c>
      <c r="E84" s="218"/>
      <c r="F84" s="263">
        <v>42489.22</v>
      </c>
      <c r="G84" s="264"/>
      <c r="H84" s="265"/>
      <c r="I84" s="218" t="s">
        <v>24</v>
      </c>
      <c r="J84" s="266"/>
      <c r="K84" s="239">
        <v>55.166476239937701</v>
      </c>
      <c r="L84" s="218"/>
      <c r="M84" s="240">
        <v>55.166476239937701</v>
      </c>
      <c r="N84" s="281">
        <v>4.1914160815378603</v>
      </c>
      <c r="O84" s="267" t="s">
        <v>111</v>
      </c>
      <c r="P84" s="268">
        <v>2.31225655673851</v>
      </c>
      <c r="Q84" s="269"/>
    </row>
    <row r="85" spans="1:25" ht="40.5" customHeight="1">
      <c r="A85" s="213" t="s">
        <v>143</v>
      </c>
      <c r="B85" s="213"/>
      <c r="C85" s="213"/>
      <c r="D85" s="221">
        <v>3</v>
      </c>
      <c r="E85" s="208"/>
      <c r="F85" s="216">
        <v>45857.97</v>
      </c>
      <c r="G85" s="226"/>
      <c r="H85" s="219"/>
      <c r="I85" s="217" t="s">
        <v>24</v>
      </c>
      <c r="J85" s="257"/>
      <c r="K85" s="207">
        <f>33</f>
        <v>33</v>
      </c>
      <c r="L85" s="224"/>
      <c r="M85" s="240">
        <v>57.193776502868602</v>
      </c>
      <c r="N85" s="282">
        <f>+(K85/K84)-1</f>
        <v>-0.40181062396532607</v>
      </c>
      <c r="O85" s="271" t="s">
        <v>97</v>
      </c>
      <c r="P85" s="272"/>
      <c r="Q85" s="173"/>
      <c r="S85" s="248">
        <v>2.0273002629308698</v>
      </c>
    </row>
    <row r="86" spans="1:25" ht="15">
      <c r="A86" s="222"/>
      <c r="B86" s="222"/>
      <c r="C86" s="222"/>
      <c r="D86" s="222"/>
      <c r="E86" s="208"/>
      <c r="F86" s="204"/>
      <c r="G86" s="251"/>
      <c r="H86" s="225"/>
      <c r="I86" s="223"/>
      <c r="J86" s="256"/>
      <c r="K86" s="208"/>
      <c r="L86" s="224"/>
      <c r="M86" s="224"/>
      <c r="N86" s="273"/>
      <c r="O86" s="222"/>
      <c r="P86" s="222"/>
      <c r="Q86" s="173"/>
    </row>
    <row r="87" spans="1:25">
      <c r="A87" s="172" t="s">
        <v>62</v>
      </c>
      <c r="B87" s="173"/>
      <c r="C87" s="173"/>
      <c r="D87" s="173"/>
      <c r="E87" s="187"/>
      <c r="F87" s="174"/>
      <c r="G87" s="255"/>
      <c r="H87" s="176"/>
      <c r="I87" s="175"/>
      <c r="J87" s="260"/>
      <c r="K87" s="187"/>
      <c r="L87" s="190"/>
      <c r="M87" s="189"/>
      <c r="N87" s="283"/>
      <c r="O87" s="173"/>
      <c r="P87" s="173"/>
      <c r="Q87" s="173"/>
    </row>
  </sheetData>
  <phoneticPr fontId="0" type="noConversion"/>
  <conditionalFormatting sqref="L1:L1048576">
    <cfRule type="colorScale" priority="2">
      <colorScale>
        <cfvo type="num" val="-1"/>
        <cfvo type="num" val="1"/>
        <color rgb="FF00B050"/>
        <color rgb="FFFFEF9C"/>
      </colorScale>
    </cfRule>
    <cfRule type="colorScale" priority="3">
      <colorScale>
        <cfvo type="num" val="0"/>
        <cfvo type="num" val="1"/>
        <color rgb="FF00B050"/>
        <color rgb="FFFFEF9C"/>
      </colorScale>
    </cfRule>
    <cfRule type="cellIs" dxfId="0" priority="4" operator="greaterThan">
      <formula>$U$14</formula>
    </cfRule>
  </conditionalFormatting>
  <conditionalFormatting sqref="P28">
    <cfRule type="colorScale" priority="1">
      <colorScale>
        <cfvo type="num" val="-5"/>
        <cfvo type="percentile" val="0"/>
        <cfvo type="num" val="5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2" sqref="O42"/>
    </sheetView>
  </sheetViews>
  <sheetFormatPr defaultRowHeight="12.75"/>
  <cols>
    <col min="2" max="2" width="26" customWidth="1"/>
    <col min="5" max="5" width="14.5703125" customWidth="1"/>
    <col min="6" max="6" width="14.85546875" bestFit="1" customWidth="1"/>
    <col min="8" max="8" width="17.42578125" customWidth="1"/>
    <col min="11" max="11" width="16.85546875" style="39" customWidth="1"/>
    <col min="17" max="17" width="22.7109375" customWidth="1"/>
  </cols>
  <sheetData>
    <row r="1" spans="1:18" ht="15">
      <c r="A1" s="213" t="s">
        <v>0</v>
      </c>
      <c r="B1" s="222"/>
      <c r="C1" s="222"/>
      <c r="D1" s="222"/>
      <c r="E1" s="208" t="s">
        <v>132</v>
      </c>
      <c r="F1" s="214"/>
      <c r="G1" s="226"/>
      <c r="H1" s="223"/>
      <c r="I1" s="256"/>
      <c r="J1" s="208"/>
      <c r="K1" s="224"/>
      <c r="L1" s="273"/>
      <c r="M1" s="222"/>
      <c r="N1" s="222"/>
      <c r="O1" s="173"/>
    </row>
    <row r="2" spans="1:18" ht="15">
      <c r="A2" s="222"/>
      <c r="B2" s="222"/>
      <c r="C2" s="222"/>
      <c r="D2" s="222"/>
      <c r="E2" s="208"/>
      <c r="F2" s="204"/>
      <c r="G2" s="251"/>
      <c r="H2" s="223"/>
      <c r="I2" s="256"/>
      <c r="J2" s="208"/>
      <c r="K2" s="224"/>
      <c r="L2" s="273"/>
      <c r="M2" s="222"/>
      <c r="N2" s="222"/>
      <c r="O2" s="173"/>
    </row>
    <row r="3" spans="1:18" ht="15">
      <c r="A3" s="222"/>
      <c r="B3" s="222"/>
      <c r="C3" s="222"/>
      <c r="D3" s="222"/>
      <c r="E3" s="208" t="s">
        <v>1</v>
      </c>
      <c r="F3" s="214"/>
      <c r="G3" s="226"/>
      <c r="H3" s="223"/>
      <c r="I3" s="257" t="s">
        <v>128</v>
      </c>
      <c r="J3" s="191" t="s">
        <v>133</v>
      </c>
      <c r="K3" s="224"/>
      <c r="L3" s="273"/>
      <c r="M3" s="222"/>
      <c r="N3" s="222"/>
      <c r="O3" s="173"/>
    </row>
    <row r="4" spans="1:18" ht="15">
      <c r="A4" s="222"/>
      <c r="B4" s="222"/>
      <c r="C4" s="222"/>
      <c r="D4" s="222"/>
      <c r="E4" s="208" t="s">
        <v>145</v>
      </c>
      <c r="F4" s="214"/>
      <c r="G4" s="226" t="s">
        <v>19</v>
      </c>
      <c r="H4" s="217" t="s">
        <v>20</v>
      </c>
      <c r="I4" s="257" t="s">
        <v>120</v>
      </c>
      <c r="J4" s="191" t="s">
        <v>134</v>
      </c>
      <c r="K4" s="218" t="s">
        <v>79</v>
      </c>
      <c r="L4" s="273"/>
      <c r="M4" s="222"/>
      <c r="N4" s="227" t="s">
        <v>2</v>
      </c>
      <c r="O4" s="173"/>
    </row>
    <row r="5" spans="1:18" ht="15">
      <c r="A5" s="213" t="s">
        <v>3</v>
      </c>
      <c r="B5" s="213"/>
      <c r="C5" s="222"/>
      <c r="D5" s="222"/>
      <c r="E5" s="208"/>
      <c r="F5" s="204"/>
      <c r="G5" s="251"/>
      <c r="H5" s="223"/>
      <c r="I5" s="256"/>
      <c r="J5" s="192" t="s">
        <v>145</v>
      </c>
      <c r="K5" s="224"/>
      <c r="L5" s="273"/>
      <c r="M5" s="222"/>
      <c r="N5" s="222"/>
      <c r="O5" s="173"/>
    </row>
    <row r="6" spans="1:18" ht="15">
      <c r="A6" s="222"/>
      <c r="B6" s="222"/>
      <c r="C6" s="222"/>
      <c r="D6" s="222"/>
      <c r="E6" s="208"/>
      <c r="F6" s="204"/>
      <c r="G6" s="251"/>
      <c r="H6" s="223"/>
      <c r="I6" s="256"/>
      <c r="J6" s="208"/>
      <c r="K6" s="224"/>
      <c r="L6" s="273"/>
      <c r="M6" s="222"/>
      <c r="N6" s="222"/>
      <c r="O6" s="173"/>
    </row>
    <row r="7" spans="1:18" ht="15">
      <c r="A7" s="213" t="s">
        <v>4</v>
      </c>
      <c r="B7" s="222"/>
      <c r="C7" s="222"/>
      <c r="D7" s="222"/>
      <c r="E7" s="208"/>
      <c r="F7" s="204"/>
      <c r="G7" s="251"/>
      <c r="H7" s="223"/>
      <c r="I7" s="256"/>
      <c r="J7" s="208"/>
      <c r="K7" s="224"/>
      <c r="L7" s="273"/>
      <c r="M7" s="222"/>
      <c r="N7" s="222"/>
      <c r="O7" s="173"/>
    </row>
    <row r="8" spans="1:18" s="144" customFormat="1" ht="15">
      <c r="A8" s="319">
        <v>1</v>
      </c>
      <c r="B8" s="320" t="s">
        <v>147</v>
      </c>
      <c r="C8" s="321"/>
      <c r="D8" s="322"/>
      <c r="E8" s="323">
        <f>+'Budget 17-18'!K8</f>
        <v>10281.120000000001</v>
      </c>
      <c r="F8" s="324"/>
      <c r="G8" s="325"/>
      <c r="H8" s="325"/>
      <c r="I8" s="326">
        <v>0</v>
      </c>
      <c r="J8" s="345">
        <f t="shared" ref="J8:J24" si="0">+E8*(1+L8)</f>
        <v>10383.931200000001</v>
      </c>
      <c r="K8" s="327"/>
      <c r="L8" s="328">
        <v>0.01</v>
      </c>
      <c r="M8" s="321"/>
      <c r="N8" s="321" t="s">
        <v>136</v>
      </c>
      <c r="O8" s="329"/>
      <c r="P8" s="143"/>
      <c r="R8" s="154"/>
    </row>
    <row r="9" spans="1:18" ht="15">
      <c r="A9" s="39"/>
      <c r="B9" s="290" t="s">
        <v>157</v>
      </c>
      <c r="C9" s="222"/>
      <c r="D9" s="222"/>
      <c r="E9" s="193">
        <f>+'Budget 17-18'!K9</f>
        <v>555</v>
      </c>
      <c r="F9" s="204"/>
      <c r="G9" s="249"/>
      <c r="H9" s="249"/>
      <c r="I9" s="256">
        <v>0</v>
      </c>
      <c r="J9" s="346">
        <f t="shared" si="0"/>
        <v>555</v>
      </c>
      <c r="K9" s="286"/>
      <c r="L9" s="274">
        <v>0</v>
      </c>
      <c r="M9" s="222"/>
      <c r="N9" s="222"/>
      <c r="O9" s="173"/>
      <c r="R9" s="61"/>
    </row>
    <row r="10" spans="1:18" ht="15">
      <c r="A10" s="39">
        <v>2</v>
      </c>
      <c r="B10" s="290" t="s">
        <v>148</v>
      </c>
      <c r="C10" s="222"/>
      <c r="D10" s="222"/>
      <c r="E10" s="193">
        <f>+'Budget 17-18'!K10</f>
        <v>450</v>
      </c>
      <c r="F10" s="204"/>
      <c r="G10" s="249"/>
      <c r="H10" s="249"/>
      <c r="I10" s="256">
        <v>0</v>
      </c>
      <c r="J10" s="346">
        <f t="shared" si="0"/>
        <v>450</v>
      </c>
      <c r="K10" s="286"/>
      <c r="L10" s="274">
        <v>0</v>
      </c>
      <c r="M10" s="222"/>
      <c r="N10" s="222"/>
      <c r="O10" s="173"/>
      <c r="R10" s="61"/>
    </row>
    <row r="11" spans="1:18" ht="15">
      <c r="A11" s="39">
        <v>3</v>
      </c>
      <c r="B11" s="290" t="s">
        <v>149</v>
      </c>
      <c r="C11" s="222"/>
      <c r="D11" s="222"/>
      <c r="E11" s="193">
        <f>+'Budget 17-18'!K11</f>
        <v>560</v>
      </c>
      <c r="F11" s="204"/>
      <c r="G11" s="249"/>
      <c r="H11" s="249"/>
      <c r="I11" s="256">
        <v>0</v>
      </c>
      <c r="J11" s="346">
        <f t="shared" si="0"/>
        <v>560</v>
      </c>
      <c r="K11" s="286">
        <v>107</v>
      </c>
      <c r="L11" s="274">
        <v>0</v>
      </c>
      <c r="M11" s="222"/>
      <c r="N11" s="222"/>
      <c r="O11" s="173"/>
      <c r="R11" s="61"/>
    </row>
    <row r="12" spans="1:18" ht="15">
      <c r="A12" s="39">
        <v>4</v>
      </c>
      <c r="B12" s="290" t="s">
        <v>175</v>
      </c>
      <c r="C12" s="222"/>
      <c r="D12" s="222"/>
      <c r="E12" s="193">
        <f>+'Budget 17-18'!K12</f>
        <v>1000</v>
      </c>
      <c r="F12" s="204"/>
      <c r="G12" s="249"/>
      <c r="H12" s="249"/>
      <c r="I12" s="256">
        <v>0</v>
      </c>
      <c r="J12" s="346">
        <f t="shared" si="0"/>
        <v>1100</v>
      </c>
      <c r="K12" s="286"/>
      <c r="L12" s="274">
        <v>0.1</v>
      </c>
      <c r="M12" s="222"/>
      <c r="N12" s="222"/>
      <c r="O12" s="173"/>
      <c r="R12" s="61"/>
    </row>
    <row r="13" spans="1:18" ht="15">
      <c r="A13" s="39">
        <v>5</v>
      </c>
      <c r="B13" s="290" t="s">
        <v>150</v>
      </c>
      <c r="C13" s="222"/>
      <c r="D13" s="222"/>
      <c r="E13" s="193">
        <f>+'Budget 17-18'!K13</f>
        <v>17182</v>
      </c>
      <c r="F13" s="204"/>
      <c r="G13" s="249"/>
      <c r="H13" s="249"/>
      <c r="I13" s="256">
        <v>0</v>
      </c>
      <c r="J13" s="346">
        <f t="shared" si="0"/>
        <v>17182</v>
      </c>
      <c r="K13" s="286"/>
      <c r="L13" s="274">
        <v>0</v>
      </c>
      <c r="M13" s="222"/>
      <c r="N13" s="222"/>
      <c r="O13" s="173"/>
      <c r="R13" s="61"/>
    </row>
    <row r="14" spans="1:18" ht="15">
      <c r="A14" s="39">
        <v>6</v>
      </c>
      <c r="B14" s="290" t="s">
        <v>151</v>
      </c>
      <c r="C14" s="222"/>
      <c r="D14" s="222"/>
      <c r="E14" s="193">
        <f>+'Budget 17-18'!K14</f>
        <v>0</v>
      </c>
      <c r="F14" s="204"/>
      <c r="G14" s="249"/>
      <c r="H14" s="249"/>
      <c r="I14" s="256">
        <v>0</v>
      </c>
      <c r="J14" s="346">
        <f t="shared" si="0"/>
        <v>0</v>
      </c>
      <c r="K14" s="286"/>
      <c r="L14" s="274">
        <v>0</v>
      </c>
      <c r="M14" s="222"/>
      <c r="N14" s="222"/>
      <c r="O14" s="178"/>
      <c r="P14" s="12"/>
      <c r="R14" s="61"/>
    </row>
    <row r="15" spans="1:18" ht="15">
      <c r="A15" s="39">
        <v>7</v>
      </c>
      <c r="B15" s="290" t="s">
        <v>152</v>
      </c>
      <c r="C15" s="222"/>
      <c r="D15" s="222"/>
      <c r="E15" s="193">
        <f>+'Budget 17-18'!K15</f>
        <v>25</v>
      </c>
      <c r="F15" s="204"/>
      <c r="G15" s="249"/>
      <c r="H15" s="249"/>
      <c r="I15" s="256">
        <v>0</v>
      </c>
      <c r="J15" s="346">
        <f t="shared" si="0"/>
        <v>25</v>
      </c>
      <c r="K15" s="286">
        <v>25</v>
      </c>
      <c r="L15" s="274">
        <v>0</v>
      </c>
      <c r="M15" s="222"/>
      <c r="N15" s="222"/>
      <c r="O15" s="173"/>
      <c r="R15" s="61"/>
    </row>
    <row r="16" spans="1:18" ht="15">
      <c r="A16" s="39">
        <v>8</v>
      </c>
      <c r="B16" s="290" t="s">
        <v>174</v>
      </c>
      <c r="C16" s="222"/>
      <c r="D16" s="222"/>
      <c r="E16" s="193">
        <f>+'Budget 17-18'!K16</f>
        <v>300</v>
      </c>
      <c r="F16" s="204"/>
      <c r="G16" s="249"/>
      <c r="H16" s="249"/>
      <c r="I16" s="256">
        <v>0</v>
      </c>
      <c r="J16" s="346">
        <f t="shared" si="0"/>
        <v>300</v>
      </c>
      <c r="K16" s="286"/>
      <c r="L16" s="274">
        <v>0</v>
      </c>
      <c r="M16" s="222"/>
      <c r="N16" s="222"/>
      <c r="O16" s="173"/>
      <c r="R16" s="61"/>
    </row>
    <row r="17" spans="1:18" ht="15">
      <c r="A17" s="39">
        <v>9</v>
      </c>
      <c r="B17" s="290" t="s">
        <v>176</v>
      </c>
      <c r="C17" s="222"/>
      <c r="D17" s="222"/>
      <c r="E17" s="193">
        <f>+'Budget 17-18'!K17</f>
        <v>50</v>
      </c>
      <c r="F17" s="204"/>
      <c r="G17" s="249"/>
      <c r="H17" s="249"/>
      <c r="I17" s="256">
        <v>0</v>
      </c>
      <c r="J17" s="346">
        <f t="shared" si="0"/>
        <v>50</v>
      </c>
      <c r="K17" s="286">
        <v>50</v>
      </c>
      <c r="L17" s="274">
        <v>0</v>
      </c>
      <c r="M17" s="222"/>
      <c r="N17" s="222"/>
      <c r="O17" s="173"/>
      <c r="R17" s="61"/>
    </row>
    <row r="18" spans="1:18" ht="15">
      <c r="A18" s="39">
        <v>10</v>
      </c>
      <c r="B18" s="290" t="s">
        <v>153</v>
      </c>
      <c r="C18" s="222"/>
      <c r="D18" s="222"/>
      <c r="E18" s="193">
        <f>+'Budget 17-18'!K18</f>
        <v>625</v>
      </c>
      <c r="F18" s="204"/>
      <c r="G18" s="249"/>
      <c r="H18" s="249"/>
      <c r="I18" s="256">
        <v>0</v>
      </c>
      <c r="J18" s="346">
        <f t="shared" si="0"/>
        <v>625</v>
      </c>
      <c r="K18" s="286">
        <v>35.65</v>
      </c>
      <c r="L18" s="274">
        <v>0</v>
      </c>
      <c r="M18" s="222"/>
      <c r="N18" s="222" t="s">
        <v>137</v>
      </c>
      <c r="O18" s="173"/>
      <c r="R18" s="61"/>
    </row>
    <row r="19" spans="1:18" ht="15">
      <c r="A19" s="39">
        <v>11</v>
      </c>
      <c r="B19" s="290" t="s">
        <v>173</v>
      </c>
      <c r="C19" s="222"/>
      <c r="D19" s="222"/>
      <c r="E19" s="193">
        <f>+'Budget 17-18'!K19</f>
        <v>500</v>
      </c>
      <c r="F19" s="204"/>
      <c r="G19" s="249"/>
      <c r="H19" s="249"/>
      <c r="I19" s="256">
        <v>0</v>
      </c>
      <c r="J19" s="346">
        <f t="shared" si="0"/>
        <v>500</v>
      </c>
      <c r="K19" s="286"/>
      <c r="L19" s="274">
        <v>0</v>
      </c>
      <c r="M19" s="222"/>
      <c r="N19" s="222" t="s">
        <v>138</v>
      </c>
      <c r="O19" s="173"/>
      <c r="R19" s="61"/>
    </row>
    <row r="20" spans="1:18" ht="15">
      <c r="A20" s="40" t="s">
        <v>146</v>
      </c>
      <c r="B20" s="290" t="s">
        <v>154</v>
      </c>
      <c r="C20" s="222"/>
      <c r="D20" s="222"/>
      <c r="E20" s="193">
        <f>+'Budget 17-18'!K20</f>
        <v>438</v>
      </c>
      <c r="F20" s="204"/>
      <c r="G20" s="249"/>
      <c r="H20" s="249"/>
      <c r="I20" s="256"/>
      <c r="J20" s="346">
        <f t="shared" si="0"/>
        <v>438</v>
      </c>
      <c r="K20" s="286"/>
      <c r="L20" s="274">
        <v>0</v>
      </c>
      <c r="M20" s="222"/>
      <c r="N20" s="222"/>
      <c r="O20" s="173"/>
      <c r="R20" s="61"/>
    </row>
    <row r="21" spans="1:18" ht="15">
      <c r="A21" s="39">
        <v>12</v>
      </c>
      <c r="B21" s="290" t="s">
        <v>177</v>
      </c>
      <c r="C21" s="222"/>
      <c r="D21" s="222"/>
      <c r="E21" s="193">
        <f>+'Budget 17-18'!K21</f>
        <v>325</v>
      </c>
      <c r="F21" s="204"/>
      <c r="G21" s="249"/>
      <c r="H21" s="249"/>
      <c r="I21" s="256">
        <v>0</v>
      </c>
      <c r="J21" s="346">
        <f t="shared" si="0"/>
        <v>325</v>
      </c>
      <c r="K21" s="286">
        <v>325</v>
      </c>
      <c r="L21" s="274">
        <v>0</v>
      </c>
      <c r="M21" s="222"/>
      <c r="N21" s="222"/>
      <c r="O21" s="173"/>
      <c r="R21" s="61"/>
    </row>
    <row r="22" spans="1:18" ht="15">
      <c r="A22" s="39">
        <v>13</v>
      </c>
      <c r="B22" s="290" t="s">
        <v>155</v>
      </c>
      <c r="C22" s="222"/>
      <c r="D22" s="222"/>
      <c r="E22" s="193">
        <f>+'Budget 17-18'!K22</f>
        <v>632</v>
      </c>
      <c r="F22" s="204"/>
      <c r="G22" s="249"/>
      <c r="H22" s="249"/>
      <c r="I22" s="256">
        <v>0</v>
      </c>
      <c r="J22" s="346">
        <f t="shared" si="0"/>
        <v>632</v>
      </c>
      <c r="K22" s="286">
        <v>632</v>
      </c>
      <c r="L22" s="274">
        <v>0</v>
      </c>
      <c r="M22" s="222"/>
      <c r="N22" s="222"/>
      <c r="O22" s="173"/>
      <c r="P22" s="12"/>
      <c r="R22" s="61"/>
    </row>
    <row r="23" spans="1:18" ht="15">
      <c r="A23" s="39">
        <v>14</v>
      </c>
      <c r="B23" s="290" t="s">
        <v>178</v>
      </c>
      <c r="C23" s="222"/>
      <c r="D23" s="222"/>
      <c r="E23" s="193">
        <f>+'Budget 17-18'!K23</f>
        <v>350</v>
      </c>
      <c r="F23" s="204"/>
      <c r="G23" s="249"/>
      <c r="H23" s="249"/>
      <c r="I23" s="256">
        <v>0</v>
      </c>
      <c r="J23" s="346">
        <f t="shared" si="0"/>
        <v>350</v>
      </c>
      <c r="K23" s="286"/>
      <c r="L23" s="274">
        <v>0</v>
      </c>
      <c r="M23" s="222"/>
      <c r="N23" s="222"/>
      <c r="O23" s="173"/>
      <c r="P23" s="166"/>
      <c r="Q23" s="25"/>
      <c r="R23" s="61"/>
    </row>
    <row r="24" spans="1:18" ht="15">
      <c r="A24" s="39">
        <v>15</v>
      </c>
      <c r="B24" s="294" t="s">
        <v>156</v>
      </c>
      <c r="C24" s="228"/>
      <c r="D24" s="228"/>
      <c r="E24" s="193">
        <f>+'Budget 17-18'!K24</f>
        <v>100</v>
      </c>
      <c r="F24" s="205"/>
      <c r="G24" s="234"/>
      <c r="H24" s="234"/>
      <c r="I24" s="256">
        <v>0</v>
      </c>
      <c r="J24" s="346">
        <f t="shared" si="0"/>
        <v>100</v>
      </c>
      <c r="K24" s="286"/>
      <c r="L24" s="274">
        <v>0</v>
      </c>
      <c r="M24" s="228"/>
      <c r="N24" s="228"/>
      <c r="O24" s="177"/>
      <c r="P24" s="166"/>
      <c r="Q24" s="25"/>
      <c r="R24" s="61"/>
    </row>
    <row r="25" spans="1:18" ht="15">
      <c r="A25" s="291"/>
      <c r="B25" s="228"/>
      <c r="C25" s="228"/>
      <c r="D25" s="228"/>
      <c r="E25" s="193"/>
      <c r="F25" s="205"/>
      <c r="G25" s="252"/>
      <c r="H25" s="210"/>
      <c r="I25" s="256"/>
      <c r="J25" s="347"/>
      <c r="K25" s="286"/>
      <c r="L25" s="274"/>
      <c r="M25" s="228"/>
      <c r="N25" s="228"/>
      <c r="O25" s="177"/>
      <c r="P25" s="130"/>
      <c r="Q25" s="139"/>
      <c r="R25" s="136"/>
    </row>
    <row r="26" spans="1:18" ht="15">
      <c r="A26" s="292"/>
      <c r="B26" s="235"/>
      <c r="C26" s="235"/>
      <c r="D26" s="198" t="s">
        <v>18</v>
      </c>
      <c r="E26" s="202">
        <f>SUM(E8:E24)</f>
        <v>33373.120000000003</v>
      </c>
      <c r="F26" s="200"/>
      <c r="G26" s="202">
        <f t="shared" ref="G26:H26" si="1">SUM(G8:G24)</f>
        <v>0</v>
      </c>
      <c r="H26" s="202">
        <f t="shared" si="1"/>
        <v>0</v>
      </c>
      <c r="I26" s="258"/>
      <c r="J26" s="348">
        <f>SUM(J8:J24)</f>
        <v>33575.931199999999</v>
      </c>
      <c r="K26" s="310">
        <f>SUM(K8:K24)</f>
        <v>1174.6500000000001</v>
      </c>
      <c r="L26" s="275"/>
      <c r="M26" s="235"/>
      <c r="N26" s="235"/>
      <c r="O26" s="179">
        <f>1-(+E26/J26)</f>
        <v>6.0403745406768516E-3</v>
      </c>
      <c r="R26" s="25"/>
    </row>
    <row r="27" spans="1:18" ht="15">
      <c r="A27" s="293"/>
      <c r="B27" s="222"/>
      <c r="C27" s="222"/>
      <c r="D27" s="222"/>
      <c r="E27" s="208"/>
      <c r="F27" s="204"/>
      <c r="G27" s="251"/>
      <c r="H27" s="223"/>
      <c r="I27" s="256"/>
      <c r="J27" s="349"/>
      <c r="K27" s="240"/>
      <c r="L27" s="276"/>
      <c r="M27" s="236"/>
      <c r="N27" s="222"/>
      <c r="O27" s="173"/>
      <c r="R27" s="25"/>
    </row>
    <row r="28" spans="1:18" ht="15">
      <c r="A28" s="295" t="s">
        <v>5</v>
      </c>
      <c r="B28" s="222"/>
      <c r="C28" s="222"/>
      <c r="D28" s="222"/>
      <c r="E28" s="208"/>
      <c r="F28" s="204"/>
      <c r="G28" s="251"/>
      <c r="H28" s="223"/>
      <c r="I28" s="256"/>
      <c r="J28" s="349"/>
      <c r="K28" s="240"/>
      <c r="L28" s="276"/>
      <c r="M28" s="236"/>
      <c r="N28" s="222"/>
      <c r="O28" s="173"/>
      <c r="P28" s="12"/>
      <c r="R28" s="61"/>
    </row>
    <row r="29" spans="1:18" ht="15">
      <c r="A29" s="39">
        <v>16</v>
      </c>
      <c r="B29" s="290" t="s">
        <v>160</v>
      </c>
      <c r="C29" s="222"/>
      <c r="D29" s="222"/>
      <c r="E29" s="195">
        <f>+'Budget 17-18'!K29</f>
        <v>2250</v>
      </c>
      <c r="F29" s="204"/>
      <c r="G29" s="249"/>
      <c r="H29" s="249"/>
      <c r="I29" s="256">
        <v>0</v>
      </c>
      <c r="J29" s="346">
        <f t="shared" ref="J29:J37" si="2">+E29*(1+L29)</f>
        <v>2250</v>
      </c>
      <c r="K29" s="286"/>
      <c r="L29" s="274">
        <v>0</v>
      </c>
      <c r="M29" s="222"/>
      <c r="N29" s="222"/>
      <c r="O29" s="173"/>
      <c r="R29" s="61"/>
    </row>
    <row r="30" spans="1:18" ht="15">
      <c r="A30" s="39">
        <v>17</v>
      </c>
      <c r="B30" s="290" t="s">
        <v>161</v>
      </c>
      <c r="C30" s="222"/>
      <c r="D30" s="222"/>
      <c r="E30" s="195">
        <f>+'Budget 17-18'!K30</f>
        <v>1200</v>
      </c>
      <c r="F30" s="204"/>
      <c r="G30" s="249"/>
      <c r="H30" s="249"/>
      <c r="I30" s="256">
        <v>0</v>
      </c>
      <c r="J30" s="346">
        <f t="shared" si="2"/>
        <v>1200</v>
      </c>
      <c r="K30" s="286"/>
      <c r="L30" s="274">
        <v>0</v>
      </c>
      <c r="M30" s="222"/>
      <c r="N30" s="222"/>
      <c r="O30" s="173"/>
      <c r="R30" s="61"/>
    </row>
    <row r="31" spans="1:18" s="144" customFormat="1" ht="15.75" customHeight="1">
      <c r="A31" s="319">
        <v>18</v>
      </c>
      <c r="B31" s="330" t="s">
        <v>162</v>
      </c>
      <c r="C31" s="331"/>
      <c r="D31" s="331"/>
      <c r="E31" s="332">
        <f>+'Budget 17-18'!K32</f>
        <v>0</v>
      </c>
      <c r="F31" s="333"/>
      <c r="G31" s="334"/>
      <c r="H31" s="334"/>
      <c r="I31" s="326">
        <v>-0.25</v>
      </c>
      <c r="J31" s="345">
        <f t="shared" si="2"/>
        <v>0</v>
      </c>
      <c r="K31" s="327"/>
      <c r="L31" s="328">
        <v>0</v>
      </c>
      <c r="M31" s="331"/>
      <c r="N31" s="331"/>
      <c r="O31" s="335"/>
      <c r="R31" s="154"/>
    </row>
    <row r="32" spans="1:18" ht="15">
      <c r="A32" s="39">
        <v>19</v>
      </c>
      <c r="B32" s="290" t="s">
        <v>163</v>
      </c>
      <c r="C32" s="222"/>
      <c r="D32" s="222"/>
      <c r="E32" s="195">
        <f>+'Budget 17-18'!K33</f>
        <v>500</v>
      </c>
      <c r="F32" s="204"/>
      <c r="G32" s="249"/>
      <c r="H32" s="249"/>
      <c r="I32" s="256"/>
      <c r="J32" s="346">
        <f t="shared" si="2"/>
        <v>500</v>
      </c>
      <c r="K32" s="286">
        <v>500</v>
      </c>
      <c r="L32" s="274">
        <v>0</v>
      </c>
      <c r="M32" s="222"/>
      <c r="N32" s="222"/>
      <c r="O32" s="173"/>
      <c r="R32" s="61"/>
    </row>
    <row r="33" spans="1:18" ht="15">
      <c r="A33" s="39">
        <v>20</v>
      </c>
      <c r="B33" s="290" t="s">
        <v>164</v>
      </c>
      <c r="C33" s="222"/>
      <c r="D33" s="222"/>
      <c r="E33" s="195">
        <f>+'Budget 17-18'!K34</f>
        <v>325</v>
      </c>
      <c r="F33" s="204"/>
      <c r="G33" s="249"/>
      <c r="H33" s="249"/>
      <c r="I33" s="256">
        <v>0</v>
      </c>
      <c r="J33" s="346">
        <f t="shared" si="2"/>
        <v>325</v>
      </c>
      <c r="K33" s="286"/>
      <c r="L33" s="274">
        <v>0</v>
      </c>
      <c r="M33" s="222"/>
      <c r="N33" s="222"/>
      <c r="O33" s="173"/>
      <c r="P33" s="25"/>
      <c r="Q33" s="25"/>
      <c r="R33" s="61"/>
    </row>
    <row r="34" spans="1:18" ht="15">
      <c r="A34" s="40">
        <v>21</v>
      </c>
      <c r="B34" s="294" t="s">
        <v>165</v>
      </c>
      <c r="C34" s="228"/>
      <c r="D34" s="228"/>
      <c r="E34" s="195">
        <f>+'Budget 17-18'!K35</f>
        <v>3000</v>
      </c>
      <c r="F34" s="205"/>
      <c r="G34" s="234"/>
      <c r="H34" s="234"/>
      <c r="I34" s="256">
        <v>0</v>
      </c>
      <c r="J34" s="346">
        <f t="shared" si="2"/>
        <v>3000</v>
      </c>
      <c r="K34" s="286"/>
      <c r="L34" s="274">
        <v>0</v>
      </c>
      <c r="M34" s="228"/>
      <c r="N34" s="228"/>
      <c r="O34" s="181"/>
      <c r="P34" s="155"/>
      <c r="Q34" s="155"/>
      <c r="R34" s="171"/>
    </row>
    <row r="35" spans="1:18" ht="15">
      <c r="A35" s="40" t="s">
        <v>158</v>
      </c>
      <c r="B35" s="318" t="s">
        <v>179</v>
      </c>
      <c r="C35" s="228"/>
      <c r="D35" s="228"/>
      <c r="E35" s="195">
        <f>+'Budget 17-18'!K36</f>
        <v>1500</v>
      </c>
      <c r="F35" s="205"/>
      <c r="G35" s="234"/>
      <c r="H35" s="234"/>
      <c r="I35" s="256"/>
      <c r="J35" s="346">
        <v>3000</v>
      </c>
      <c r="K35" s="286">
        <v>1500</v>
      </c>
      <c r="L35" s="274">
        <v>0</v>
      </c>
      <c r="M35" s="228"/>
      <c r="N35" s="228" t="s">
        <v>140</v>
      </c>
      <c r="O35" s="181"/>
      <c r="P35" s="155"/>
      <c r="Q35" s="155"/>
      <c r="R35" s="171"/>
    </row>
    <row r="36" spans="1:18" ht="15">
      <c r="A36" s="40" t="s">
        <v>159</v>
      </c>
      <c r="B36" s="294" t="s">
        <v>180</v>
      </c>
      <c r="C36" s="228"/>
      <c r="D36" s="228"/>
      <c r="E36" s="195">
        <f>+'Budget 17-18'!K37</f>
        <v>1250</v>
      </c>
      <c r="F36" s="205"/>
      <c r="G36" s="234"/>
      <c r="H36" s="234"/>
      <c r="I36" s="256"/>
      <c r="J36" s="346">
        <v>2500</v>
      </c>
      <c r="K36" s="286">
        <v>1250</v>
      </c>
      <c r="L36" s="274">
        <v>0</v>
      </c>
      <c r="M36" s="228"/>
      <c r="N36" s="228" t="s">
        <v>140</v>
      </c>
      <c r="O36" s="182"/>
    </row>
    <row r="37" spans="1:18" ht="15">
      <c r="A37" s="40">
        <v>22</v>
      </c>
      <c r="B37" s="290" t="s">
        <v>166</v>
      </c>
      <c r="C37" s="222"/>
      <c r="D37" s="222"/>
      <c r="E37" s="195">
        <f>+'Budget 17-18'!K38</f>
        <v>840</v>
      </c>
      <c r="F37" s="204"/>
      <c r="G37" s="249"/>
      <c r="H37" s="249"/>
      <c r="I37" s="256">
        <v>0</v>
      </c>
      <c r="J37" s="346">
        <f t="shared" si="2"/>
        <v>840</v>
      </c>
      <c r="K37" s="286"/>
      <c r="L37" s="274">
        <v>0</v>
      </c>
      <c r="M37" s="222"/>
      <c r="N37" s="222"/>
      <c r="O37" s="173"/>
      <c r="P37" s="130"/>
      <c r="Q37" s="130"/>
      <c r="R37" s="136"/>
    </row>
    <row r="38" spans="1:18" ht="36.75" customHeight="1">
      <c r="A38" s="198"/>
      <c r="B38" s="198"/>
      <c r="C38" s="198"/>
      <c r="D38" s="198" t="s">
        <v>18</v>
      </c>
      <c r="E38" s="202">
        <f>SUM(E29:E37)</f>
        <v>10865</v>
      </c>
      <c r="F38" s="206"/>
      <c r="G38" s="202">
        <f t="shared" ref="G38:H38" si="3">SUM(G29:G37)</f>
        <v>0</v>
      </c>
      <c r="H38" s="202">
        <f t="shared" si="3"/>
        <v>0</v>
      </c>
      <c r="I38" s="258"/>
      <c r="J38" s="348">
        <f>SUM(J29:J37)</f>
        <v>13615</v>
      </c>
      <c r="K38" s="310">
        <f>SUM(K29:K37)</f>
        <v>3250</v>
      </c>
      <c r="L38" s="274"/>
      <c r="M38" s="198"/>
      <c r="N38" s="198"/>
      <c r="O38" s="179">
        <f>1-(+E38/(J38-K38))</f>
        <v>-4.8239266763145272E-2</v>
      </c>
    </row>
    <row r="39" spans="1:18" ht="15">
      <c r="A39" s="213" t="s">
        <v>8</v>
      </c>
      <c r="B39" s="222"/>
      <c r="C39" s="222"/>
      <c r="D39" s="222"/>
      <c r="E39" s="208"/>
      <c r="F39" s="204"/>
      <c r="G39" s="254"/>
      <c r="H39" s="249"/>
      <c r="I39" s="256"/>
      <c r="J39" s="350"/>
      <c r="K39" s="240"/>
      <c r="L39" s="273"/>
      <c r="M39" s="222"/>
      <c r="N39" s="222"/>
      <c r="O39" s="173"/>
      <c r="R39" s="61"/>
    </row>
    <row r="40" spans="1:18" ht="15">
      <c r="A40" s="39">
        <v>23</v>
      </c>
      <c r="B40" s="290" t="s">
        <v>167</v>
      </c>
      <c r="C40" s="222"/>
      <c r="D40" s="222"/>
      <c r="E40" s="195">
        <v>1319</v>
      </c>
      <c r="F40" s="204"/>
      <c r="G40" s="249"/>
      <c r="H40" s="249"/>
      <c r="I40" s="256">
        <v>0</v>
      </c>
      <c r="J40" s="346">
        <f>+E40*(1+L40)</f>
        <v>1358.57</v>
      </c>
      <c r="K40" s="286"/>
      <c r="L40" s="274">
        <v>0.03</v>
      </c>
      <c r="M40" s="222"/>
      <c r="N40" s="222"/>
      <c r="O40" s="173"/>
      <c r="P40" s="12"/>
      <c r="R40" s="61"/>
    </row>
    <row r="41" spans="1:18" ht="15">
      <c r="A41" s="39">
        <v>24</v>
      </c>
      <c r="B41" s="290" t="s">
        <v>168</v>
      </c>
      <c r="C41" s="222"/>
      <c r="D41" s="222"/>
      <c r="E41" s="195">
        <v>1113</v>
      </c>
      <c r="F41" s="204"/>
      <c r="G41" s="249"/>
      <c r="H41" s="249"/>
      <c r="I41" s="256">
        <v>0</v>
      </c>
      <c r="J41" s="346">
        <f>+E41*(1+L41)</f>
        <v>1146.3900000000001</v>
      </c>
      <c r="K41" s="286"/>
      <c r="L41" s="274">
        <v>0.03</v>
      </c>
      <c r="M41" s="222"/>
      <c r="N41" s="222"/>
      <c r="O41" s="173"/>
      <c r="P41" s="130"/>
      <c r="Q41" s="139"/>
      <c r="R41" s="142"/>
    </row>
    <row r="42" spans="1:18" ht="38.25" customHeight="1">
      <c r="A42" s="235"/>
      <c r="B42" s="235"/>
      <c r="C42" s="235"/>
      <c r="D42" s="198" t="s">
        <v>18</v>
      </c>
      <c r="E42" s="202">
        <f>SUM(E40:E41)</f>
        <v>2432</v>
      </c>
      <c r="F42" s="200"/>
      <c r="G42" s="202">
        <f t="shared" ref="G42:H42" si="4">SUM(G40:G41)</f>
        <v>0</v>
      </c>
      <c r="H42" s="202">
        <f t="shared" si="4"/>
        <v>0</v>
      </c>
      <c r="I42" s="258"/>
      <c r="J42" s="348">
        <f>SUM(J40:J41)</f>
        <v>2504.96</v>
      </c>
      <c r="K42" s="310">
        <f>SUM(K40:K41)</f>
        <v>0</v>
      </c>
      <c r="L42" s="275"/>
      <c r="M42" s="235"/>
      <c r="N42" s="235"/>
      <c r="O42" s="179">
        <f>1-(+E42/(J42-K42))</f>
        <v>2.9126213592232997E-2</v>
      </c>
      <c r="P42" s="5"/>
      <c r="R42" s="25"/>
    </row>
    <row r="43" spans="1:18" ht="15">
      <c r="A43" s="213" t="s">
        <v>9</v>
      </c>
      <c r="B43" s="222"/>
      <c r="C43" s="222"/>
      <c r="D43" s="222"/>
      <c r="E43" s="195"/>
      <c r="F43" s="204"/>
      <c r="G43" s="223"/>
      <c r="H43" s="223"/>
      <c r="I43" s="256"/>
      <c r="J43" s="349"/>
      <c r="K43" s="240"/>
      <c r="L43" s="273"/>
      <c r="M43" s="222"/>
      <c r="N43" s="222"/>
      <c r="O43" s="180"/>
      <c r="P43" s="4"/>
      <c r="R43" s="61"/>
    </row>
    <row r="44" spans="1:18" s="144" customFormat="1" ht="15">
      <c r="A44" s="144">
        <v>25</v>
      </c>
      <c r="B44" s="330" t="s">
        <v>169</v>
      </c>
      <c r="C44" s="331"/>
      <c r="D44" s="331"/>
      <c r="E44" s="332">
        <v>5693</v>
      </c>
      <c r="F44" s="333"/>
      <c r="G44" s="334">
        <v>3895</v>
      </c>
      <c r="H44" s="334"/>
      <c r="I44" s="326">
        <v>0</v>
      </c>
      <c r="J44" s="345">
        <v>1000</v>
      </c>
      <c r="K44" s="327">
        <f>+E44-G44</f>
        <v>1798</v>
      </c>
      <c r="L44" s="328">
        <v>0</v>
      </c>
      <c r="M44" s="331"/>
      <c r="N44" s="331"/>
      <c r="O44" s="336"/>
      <c r="R44" s="154"/>
    </row>
    <row r="45" spans="1:18" s="144" customFormat="1" ht="15">
      <c r="A45" s="144">
        <v>26</v>
      </c>
      <c r="B45" s="330" t="s">
        <v>170</v>
      </c>
      <c r="C45" s="331"/>
      <c r="D45" s="337"/>
      <c r="E45" s="332">
        <v>125</v>
      </c>
      <c r="F45" s="333"/>
      <c r="G45" s="334"/>
      <c r="H45" s="334"/>
      <c r="I45" s="326">
        <v>0</v>
      </c>
      <c r="J45" s="345">
        <f>+E45*(1+L45)</f>
        <v>125</v>
      </c>
      <c r="K45" s="327"/>
      <c r="L45" s="328">
        <v>0</v>
      </c>
      <c r="M45" s="331"/>
      <c r="N45" s="331"/>
      <c r="O45" s="338"/>
      <c r="R45" s="154"/>
    </row>
    <row r="46" spans="1:18" s="144" customFormat="1" ht="15">
      <c r="A46" s="144">
        <v>27</v>
      </c>
      <c r="B46" s="330" t="s">
        <v>171</v>
      </c>
      <c r="C46" s="331"/>
      <c r="D46" s="331"/>
      <c r="E46" s="332">
        <v>25</v>
      </c>
      <c r="F46" s="333"/>
      <c r="G46" s="334"/>
      <c r="H46" s="334"/>
      <c r="I46" s="326">
        <v>0</v>
      </c>
      <c r="J46" s="345">
        <f>+E46*(1+L46)</f>
        <v>25</v>
      </c>
      <c r="K46" s="327"/>
      <c r="L46" s="328">
        <v>0</v>
      </c>
      <c r="M46" s="331"/>
      <c r="N46" s="331"/>
      <c r="O46" s="338"/>
      <c r="R46" s="154"/>
    </row>
    <row r="47" spans="1:18" ht="15">
      <c r="A47">
        <v>28</v>
      </c>
      <c r="B47" s="290" t="s">
        <v>172</v>
      </c>
      <c r="C47" s="222"/>
      <c r="D47" s="222"/>
      <c r="E47" s="195">
        <v>600</v>
      </c>
      <c r="F47" s="204"/>
      <c r="G47" s="249"/>
      <c r="H47" s="249"/>
      <c r="I47" s="256">
        <v>0</v>
      </c>
      <c r="J47" s="346">
        <f>+E47*(1+L47)</f>
        <v>600</v>
      </c>
      <c r="K47" s="286"/>
      <c r="L47" s="274">
        <v>0</v>
      </c>
      <c r="M47" s="222"/>
      <c r="N47" s="222"/>
      <c r="O47" s="183"/>
    </row>
    <row r="48" spans="1:18" ht="15">
      <c r="A48" s="222"/>
      <c r="B48" s="222"/>
      <c r="C48" s="222"/>
      <c r="D48" s="222"/>
      <c r="E48" s="208"/>
      <c r="F48" s="204"/>
      <c r="G48" s="223"/>
      <c r="H48" s="223"/>
      <c r="I48" s="259"/>
      <c r="J48" s="349"/>
      <c r="K48" s="224"/>
      <c r="L48" s="273"/>
      <c r="M48" s="222"/>
      <c r="N48" s="222"/>
      <c r="O48" s="173"/>
      <c r="P48" s="130"/>
      <c r="Q48" s="139"/>
      <c r="R48" s="139"/>
    </row>
    <row r="49" spans="1:18" s="1" customFormat="1" ht="15">
      <c r="A49" s="296"/>
      <c r="B49" s="296"/>
      <c r="C49" s="296"/>
      <c r="D49" s="198" t="s">
        <v>18</v>
      </c>
      <c r="E49" s="202">
        <f>SUM(E44:E47)</f>
        <v>6443</v>
      </c>
      <c r="F49" s="206"/>
      <c r="G49" s="202">
        <f t="shared" ref="G49:H49" si="5">SUM(G44:G47)</f>
        <v>3895</v>
      </c>
      <c r="H49" s="202">
        <f t="shared" si="5"/>
        <v>0</v>
      </c>
      <c r="I49" s="258"/>
      <c r="J49" s="348">
        <f>SUM(J44:J47)</f>
        <v>1750</v>
      </c>
      <c r="K49" s="310">
        <f>SUM(K44:K47)</f>
        <v>1798</v>
      </c>
      <c r="L49" s="297"/>
      <c r="M49" s="296"/>
      <c r="N49" s="296"/>
      <c r="O49" s="179" t="s">
        <v>121</v>
      </c>
    </row>
    <row r="50" spans="1:18" ht="15">
      <c r="A50" s="222"/>
      <c r="B50" s="222"/>
      <c r="C50" s="222"/>
      <c r="D50" s="222"/>
      <c r="E50" s="195"/>
      <c r="F50" s="204"/>
      <c r="G50" s="223"/>
      <c r="H50" s="223"/>
      <c r="I50" s="256"/>
      <c r="J50" s="349"/>
      <c r="K50" s="239"/>
      <c r="L50" s="273"/>
      <c r="M50" s="236"/>
      <c r="N50" s="222"/>
      <c r="O50" s="173"/>
    </row>
    <row r="51" spans="1:18" ht="15">
      <c r="A51" s="213" t="s">
        <v>25</v>
      </c>
      <c r="B51" s="222"/>
      <c r="C51" s="222"/>
      <c r="D51" s="222"/>
      <c r="E51" s="195"/>
      <c r="F51" s="204"/>
      <c r="G51" s="223"/>
      <c r="H51" s="223"/>
      <c r="I51" s="256"/>
      <c r="J51" s="349"/>
      <c r="K51" s="240"/>
      <c r="L51" s="276"/>
      <c r="M51" s="236"/>
      <c r="N51" s="222"/>
      <c r="O51" s="173"/>
      <c r="P51" s="12"/>
      <c r="R51" s="61"/>
    </row>
    <row r="52" spans="1:18" ht="15">
      <c r="A52">
        <v>29</v>
      </c>
      <c r="B52" s="222" t="s">
        <v>92</v>
      </c>
      <c r="C52" s="222"/>
      <c r="D52" s="222"/>
      <c r="E52" s="195">
        <v>150</v>
      </c>
      <c r="F52" s="204"/>
      <c r="G52" s="249"/>
      <c r="H52" s="249"/>
      <c r="I52" s="256">
        <v>0</v>
      </c>
      <c r="J52" s="346">
        <f>+E52*(1+L52)</f>
        <v>150</v>
      </c>
      <c r="K52" s="286"/>
      <c r="L52" s="274">
        <v>0</v>
      </c>
      <c r="M52" s="222"/>
      <c r="N52" s="222"/>
      <c r="O52" s="173"/>
      <c r="P52" s="166"/>
      <c r="Q52" s="25"/>
      <c r="R52" s="61"/>
    </row>
    <row r="53" spans="1:18" ht="15">
      <c r="A53">
        <v>30</v>
      </c>
      <c r="B53" s="228" t="s">
        <v>122</v>
      </c>
      <c r="C53" s="228"/>
      <c r="D53" s="228"/>
      <c r="E53" s="193">
        <v>8000</v>
      </c>
      <c r="F53" s="205"/>
      <c r="G53" s="234"/>
      <c r="H53" s="234"/>
      <c r="I53" s="256">
        <v>0</v>
      </c>
      <c r="J53" s="346">
        <f>+E53*(1+L53)</f>
        <v>8000</v>
      </c>
      <c r="K53" s="286">
        <v>8000</v>
      </c>
      <c r="L53" s="274">
        <v>0</v>
      </c>
      <c r="M53" s="228"/>
      <c r="N53" s="228" t="s">
        <v>140</v>
      </c>
      <c r="O53" s="177"/>
      <c r="R53" s="61"/>
    </row>
    <row r="54" spans="1:18" ht="15">
      <c r="A54">
        <v>31</v>
      </c>
      <c r="B54" s="228" t="s">
        <v>49</v>
      </c>
      <c r="C54" s="228"/>
      <c r="D54" s="228"/>
      <c r="E54" s="193">
        <v>670</v>
      </c>
      <c r="F54" s="205"/>
      <c r="G54" s="234"/>
      <c r="H54" s="234"/>
      <c r="I54" s="256">
        <v>0</v>
      </c>
      <c r="J54" s="346">
        <f>+E54*(1+L54)</f>
        <v>670</v>
      </c>
      <c r="K54" s="286">
        <v>670</v>
      </c>
      <c r="L54" s="274">
        <v>0</v>
      </c>
      <c r="M54" s="228"/>
      <c r="N54" s="228"/>
      <c r="O54" s="177"/>
      <c r="P54" s="166"/>
      <c r="Q54" s="25"/>
      <c r="R54" s="61"/>
    </row>
    <row r="55" spans="1:18" ht="15">
      <c r="A55">
        <v>32</v>
      </c>
      <c r="B55" s="222" t="s">
        <v>141</v>
      </c>
      <c r="C55" s="222"/>
      <c r="D55" s="222"/>
      <c r="E55" s="195">
        <v>2500</v>
      </c>
      <c r="F55" s="204"/>
      <c r="G55" s="249"/>
      <c r="H55" s="249"/>
      <c r="I55" s="256"/>
      <c r="J55" s="346">
        <v>5000</v>
      </c>
      <c r="K55" s="286">
        <v>2500</v>
      </c>
      <c r="L55" s="274">
        <v>0</v>
      </c>
      <c r="M55" s="222"/>
      <c r="N55" s="228" t="s">
        <v>140</v>
      </c>
      <c r="O55" s="173"/>
      <c r="P55" s="12"/>
      <c r="R55" s="61"/>
    </row>
    <row r="56" spans="1:18" ht="33.75" customHeight="1">
      <c r="A56" s="198"/>
      <c r="B56" s="222"/>
      <c r="C56" s="198"/>
      <c r="D56" s="211" t="s">
        <v>17</v>
      </c>
      <c r="E56" s="202">
        <f>SUM(E52:E55)</f>
        <v>11320</v>
      </c>
      <c r="F56" s="206"/>
      <c r="G56" s="202">
        <f t="shared" ref="G56:H56" si="6">SUM(G52:G55)</f>
        <v>0</v>
      </c>
      <c r="H56" s="202">
        <f t="shared" si="6"/>
        <v>0</v>
      </c>
      <c r="I56" s="258"/>
      <c r="J56" s="348">
        <f>SUM(J52:J55)</f>
        <v>13820</v>
      </c>
      <c r="K56" s="310">
        <f>SUM(K52:K55)</f>
        <v>11170</v>
      </c>
      <c r="L56" s="277"/>
      <c r="M56" s="198"/>
      <c r="N56" s="198"/>
      <c r="O56" s="179"/>
      <c r="P56" s="130"/>
      <c r="Q56" s="121"/>
      <c r="R56" s="130"/>
    </row>
    <row r="57" spans="1:18" ht="15">
      <c r="A57" s="222"/>
      <c r="B57" s="222"/>
      <c r="C57" s="222"/>
      <c r="D57" s="222"/>
      <c r="E57" s="195"/>
      <c r="F57" s="204"/>
      <c r="G57" s="249"/>
      <c r="H57" s="249"/>
      <c r="I57" s="256"/>
      <c r="J57" s="350"/>
      <c r="K57" s="240"/>
      <c r="L57" s="273"/>
      <c r="M57" s="222"/>
      <c r="N57" s="222"/>
      <c r="O57" s="173"/>
      <c r="R57" s="4"/>
    </row>
    <row r="58" spans="1:18" ht="15">
      <c r="A58" s="213" t="s">
        <v>81</v>
      </c>
      <c r="B58" s="222"/>
      <c r="C58" s="222"/>
      <c r="D58" s="222"/>
      <c r="E58" s="195"/>
      <c r="F58" s="204"/>
      <c r="G58" s="223"/>
      <c r="H58" s="223"/>
      <c r="I58" s="256"/>
      <c r="J58" s="349"/>
      <c r="K58" s="240"/>
      <c r="L58" s="276"/>
      <c r="M58" s="222"/>
      <c r="N58" s="222"/>
      <c r="O58" s="173"/>
    </row>
    <row r="59" spans="1:18" ht="15.75">
      <c r="A59" s="198" t="s">
        <v>37</v>
      </c>
      <c r="B59" s="198"/>
      <c r="C59" s="198"/>
      <c r="D59" s="198"/>
      <c r="E59" s="202">
        <f>+E26+E38+E42+E49+E56</f>
        <v>64433.120000000003</v>
      </c>
      <c r="F59" s="206"/>
      <c r="G59" s="250"/>
      <c r="H59" s="250"/>
      <c r="I59" s="258"/>
      <c r="J59" s="348">
        <f>+J26+J38+J42+J49+J56</f>
        <v>65265.891199999998</v>
      </c>
      <c r="K59" s="310">
        <f>+K26+K38+K42+K49+K56</f>
        <v>17392.650000000001</v>
      </c>
      <c r="L59" s="277"/>
      <c r="M59" s="198"/>
      <c r="N59" s="198"/>
      <c r="O59" s="179" t="s">
        <v>121</v>
      </c>
      <c r="P59" s="75"/>
      <c r="Q59" s="75"/>
      <c r="R59" s="75"/>
    </row>
    <row r="60" spans="1:18" ht="15">
      <c r="A60" s="222" t="s">
        <v>38</v>
      </c>
      <c r="B60" s="222"/>
      <c r="C60" s="222"/>
      <c r="D60" s="222"/>
      <c r="E60" s="195"/>
      <c r="F60" s="204"/>
      <c r="G60" s="254"/>
      <c r="H60" s="249"/>
      <c r="I60" s="256"/>
      <c r="J60" s="349"/>
      <c r="K60" s="224"/>
      <c r="L60" s="273"/>
      <c r="M60" s="222"/>
      <c r="N60" s="222"/>
      <c r="O60" s="185"/>
      <c r="P60" s="3"/>
      <c r="Q60" s="3"/>
      <c r="R60" s="3"/>
    </row>
    <row r="61" spans="1:18" ht="15">
      <c r="A61" s="222" t="s">
        <v>61</v>
      </c>
      <c r="B61" s="222">
        <f>C47</f>
        <v>0</v>
      </c>
      <c r="C61" s="222"/>
      <c r="D61" s="222"/>
      <c r="E61" s="195">
        <v>11537.49</v>
      </c>
      <c r="F61" s="204"/>
      <c r="G61" s="254"/>
      <c r="H61" s="249"/>
      <c r="I61" s="256"/>
      <c r="J61" s="349">
        <f>K59</f>
        <v>17392.650000000001</v>
      </c>
      <c r="K61" s="239">
        <v>1842.15</v>
      </c>
      <c r="L61" s="273"/>
      <c r="M61" s="222"/>
      <c r="N61" s="222"/>
      <c r="O61" s="178"/>
      <c r="P61" s="3"/>
      <c r="Q61" s="3"/>
      <c r="R61" s="3"/>
    </row>
    <row r="62" spans="1:18" ht="15">
      <c r="A62" s="222" t="s">
        <v>60</v>
      </c>
      <c r="B62" s="222"/>
      <c r="C62" s="222"/>
      <c r="D62" s="222"/>
      <c r="E62" s="195"/>
      <c r="F62" s="204"/>
      <c r="G62" s="254"/>
      <c r="H62" s="249"/>
      <c r="I62" s="256"/>
      <c r="J62" s="349"/>
      <c r="K62" s="240"/>
      <c r="L62" s="273"/>
      <c r="M62" s="222"/>
      <c r="N62" s="222"/>
      <c r="O62" s="178"/>
      <c r="P62" s="3"/>
      <c r="Q62" s="3"/>
      <c r="R62" s="3"/>
    </row>
    <row r="63" spans="1:18" ht="15">
      <c r="A63" s="222" t="s">
        <v>39</v>
      </c>
      <c r="B63" s="222"/>
      <c r="C63" s="222"/>
      <c r="D63" s="222"/>
      <c r="E63" s="195"/>
      <c r="F63" s="204"/>
      <c r="G63" s="254"/>
      <c r="H63" s="249"/>
      <c r="I63" s="256"/>
      <c r="J63" s="349"/>
      <c r="K63" s="224"/>
      <c r="L63" s="279"/>
      <c r="M63" s="213"/>
      <c r="N63" s="222"/>
      <c r="O63" s="178"/>
      <c r="P63" s="3"/>
      <c r="Q63" s="3"/>
      <c r="R63" s="3"/>
    </row>
    <row r="64" spans="1:18" ht="15">
      <c r="A64" s="222"/>
      <c r="B64" s="222"/>
      <c r="C64" s="222"/>
      <c r="D64" s="222"/>
      <c r="E64" s="195"/>
      <c r="F64" s="204"/>
      <c r="G64" s="254"/>
      <c r="H64" s="249"/>
      <c r="I64" s="256"/>
      <c r="J64" s="349"/>
      <c r="K64" s="224"/>
      <c r="L64" s="273"/>
      <c r="M64" s="222"/>
      <c r="N64" s="222"/>
      <c r="O64" s="178"/>
      <c r="P64" s="3"/>
      <c r="Q64" s="3"/>
      <c r="R64" s="3"/>
    </row>
    <row r="65" spans="1:18" s="144" customFormat="1" ht="15">
      <c r="A65" s="331"/>
      <c r="B65" s="331">
        <f>B5</f>
        <v>0</v>
      </c>
      <c r="C65" s="331"/>
      <c r="D65" s="331"/>
      <c r="E65" s="332">
        <v>957.96</v>
      </c>
      <c r="F65" s="333"/>
      <c r="G65" s="339"/>
      <c r="H65" s="334"/>
      <c r="I65" s="326">
        <v>-0.25</v>
      </c>
      <c r="J65" s="345">
        <f>E65*(1-K65)</f>
        <v>718.47</v>
      </c>
      <c r="K65" s="340">
        <v>0.25</v>
      </c>
      <c r="L65" s="341"/>
      <c r="M65" s="331"/>
      <c r="N65" s="342"/>
      <c r="O65" s="338"/>
      <c r="P65" s="143"/>
      <c r="Q65" s="143"/>
      <c r="R65" s="143"/>
    </row>
    <row r="66" spans="1:18" ht="23.25">
      <c r="A66" s="213"/>
      <c r="B66" s="213" t="s">
        <v>142</v>
      </c>
      <c r="C66" s="213"/>
      <c r="D66" s="213"/>
      <c r="E66" s="195">
        <v>47714.55</v>
      </c>
      <c r="F66" s="214"/>
      <c r="G66" s="253"/>
      <c r="H66" s="220"/>
      <c r="I66" s="257"/>
      <c r="J66" s="350">
        <f>+J59-J61-J65</f>
        <v>47154.771199999996</v>
      </c>
      <c r="K66" s="218"/>
      <c r="L66" s="280"/>
      <c r="M66" s="270"/>
      <c r="N66" s="270"/>
      <c r="O66" s="179">
        <f>1-(+E66/J66)</f>
        <v>-1.1871095665500819E-2</v>
      </c>
      <c r="P66" s="48"/>
      <c r="Q66" s="48"/>
      <c r="R66" s="48"/>
    </row>
    <row r="67" spans="1:18" ht="15">
      <c r="A67" s="222"/>
      <c r="B67" s="222"/>
      <c r="C67" s="222"/>
      <c r="D67" s="222"/>
      <c r="E67" s="195"/>
      <c r="F67" s="204"/>
      <c r="G67" s="251"/>
      <c r="H67" s="223"/>
      <c r="I67" s="256"/>
      <c r="J67" s="195"/>
      <c r="K67" s="224"/>
      <c r="L67" s="273"/>
      <c r="M67" s="222"/>
      <c r="N67" s="222"/>
      <c r="O67" s="173"/>
    </row>
    <row r="68" spans="1:18" ht="15">
      <c r="A68" s="214" t="s">
        <v>41</v>
      </c>
      <c r="B68" s="214"/>
      <c r="C68" s="214"/>
      <c r="D68" s="216">
        <v>761.23</v>
      </c>
      <c r="E68" s="208"/>
      <c r="F68" s="216">
        <v>33798</v>
      </c>
      <c r="G68" s="226"/>
      <c r="H68" s="217" t="s">
        <v>24</v>
      </c>
      <c r="I68" s="257"/>
      <c r="J68" s="220">
        <v>44.4</v>
      </c>
      <c r="K68" s="240">
        <v>44.399196037991103</v>
      </c>
      <c r="L68" s="273"/>
      <c r="M68" s="222"/>
      <c r="N68" s="222"/>
      <c r="O68" s="173"/>
    </row>
    <row r="69" spans="1:18" ht="15">
      <c r="A69" s="214" t="s">
        <v>42</v>
      </c>
      <c r="B69" s="214"/>
      <c r="C69" s="214"/>
      <c r="D69" s="216">
        <v>767.7</v>
      </c>
      <c r="E69" s="208"/>
      <c r="F69" s="216">
        <v>36754</v>
      </c>
      <c r="G69" s="226"/>
      <c r="H69" s="217" t="s">
        <v>24</v>
      </c>
      <c r="I69" s="257"/>
      <c r="J69" s="220">
        <v>48</v>
      </c>
      <c r="K69" s="240">
        <v>47.875472189657401</v>
      </c>
      <c r="L69" s="273"/>
      <c r="M69" s="222"/>
      <c r="N69" s="222"/>
      <c r="O69" s="173"/>
    </row>
    <row r="70" spans="1:18" ht="15">
      <c r="A70" s="214" t="s">
        <v>43</v>
      </c>
      <c r="B70" s="214"/>
      <c r="C70" s="214"/>
      <c r="D70" s="216">
        <v>767.62</v>
      </c>
      <c r="E70" s="208"/>
      <c r="F70" s="216">
        <v>36846</v>
      </c>
      <c r="G70" s="226"/>
      <c r="H70" s="217" t="s">
        <v>24</v>
      </c>
      <c r="I70" s="257"/>
      <c r="J70" s="220">
        <v>48</v>
      </c>
      <c r="K70" s="240">
        <v>48.000312654698902</v>
      </c>
      <c r="L70" s="273"/>
      <c r="M70" s="222"/>
      <c r="N70" s="222"/>
      <c r="O70" s="173"/>
    </row>
    <row r="71" spans="1:18" ht="15">
      <c r="A71" s="214" t="s">
        <v>44</v>
      </c>
      <c r="B71" s="214"/>
      <c r="C71" s="214"/>
      <c r="D71" s="216">
        <v>765.25</v>
      </c>
      <c r="E71" s="208"/>
      <c r="F71" s="216">
        <v>36733</v>
      </c>
      <c r="G71" s="226"/>
      <c r="H71" s="217" t="s">
        <v>24</v>
      </c>
      <c r="I71" s="257"/>
      <c r="J71" s="220">
        <v>48</v>
      </c>
      <c r="K71" s="240">
        <v>48.001306762495901</v>
      </c>
      <c r="L71" s="273"/>
      <c r="M71" s="222"/>
      <c r="N71" s="222"/>
      <c r="O71" s="173"/>
    </row>
    <row r="72" spans="1:18" ht="15">
      <c r="A72" s="214" t="s">
        <v>45</v>
      </c>
      <c r="B72" s="214"/>
      <c r="C72" s="214"/>
      <c r="D72" s="216">
        <v>772.2</v>
      </c>
      <c r="E72" s="208"/>
      <c r="F72" s="216">
        <v>33976</v>
      </c>
      <c r="G72" s="226"/>
      <c r="H72" s="217" t="s">
        <v>24</v>
      </c>
      <c r="I72" s="257"/>
      <c r="J72" s="220">
        <v>44</v>
      </c>
      <c r="K72" s="240">
        <v>43.998963998964001</v>
      </c>
      <c r="L72" s="273"/>
      <c r="M72" s="222"/>
      <c r="N72" s="222"/>
      <c r="O72" s="173"/>
    </row>
    <row r="73" spans="1:18" ht="15">
      <c r="A73" s="214" t="s">
        <v>46</v>
      </c>
      <c r="B73" s="214"/>
      <c r="C73" s="214"/>
      <c r="D73" s="216">
        <v>771.2</v>
      </c>
      <c r="E73" s="208"/>
      <c r="F73" s="216">
        <v>33932</v>
      </c>
      <c r="G73" s="226"/>
      <c r="H73" s="217" t="s">
        <v>24</v>
      </c>
      <c r="I73" s="257"/>
      <c r="J73" s="220">
        <v>44</v>
      </c>
      <c r="K73" s="240">
        <v>43.998962655601701</v>
      </c>
      <c r="L73" s="273"/>
      <c r="M73" s="222"/>
      <c r="N73" s="222"/>
      <c r="O73" s="173"/>
    </row>
    <row r="74" spans="1:18" ht="15">
      <c r="A74" s="214" t="s">
        <v>47</v>
      </c>
      <c r="B74" s="214"/>
      <c r="C74" s="214"/>
      <c r="D74" s="216">
        <v>767.7</v>
      </c>
      <c r="E74" s="208"/>
      <c r="F74" s="216">
        <v>37382.080000000002</v>
      </c>
      <c r="G74" s="226"/>
      <c r="H74" s="217" t="s">
        <v>24</v>
      </c>
      <c r="I74" s="257"/>
      <c r="J74" s="220">
        <v>48.69</v>
      </c>
      <c r="K74" s="240">
        <v>48.693604272502299</v>
      </c>
      <c r="L74" s="273"/>
      <c r="M74" s="222"/>
      <c r="N74" s="222"/>
      <c r="O74" s="173"/>
    </row>
    <row r="75" spans="1:18" ht="15">
      <c r="A75" s="214" t="s">
        <v>40</v>
      </c>
      <c r="B75" s="214"/>
      <c r="C75" s="214"/>
      <c r="D75" s="216">
        <v>769.3</v>
      </c>
      <c r="E75" s="208"/>
      <c r="F75" s="216">
        <v>36926.400000000001</v>
      </c>
      <c r="G75" s="226"/>
      <c r="H75" s="217" t="s">
        <v>24</v>
      </c>
      <c r="I75" s="257"/>
      <c r="J75" s="220">
        <v>48</v>
      </c>
      <c r="K75" s="240">
        <v>48</v>
      </c>
      <c r="L75" s="273"/>
      <c r="M75" s="222"/>
      <c r="N75" s="222"/>
      <c r="O75" s="173"/>
    </row>
    <row r="76" spans="1:18" ht="15">
      <c r="A76" s="214" t="s">
        <v>83</v>
      </c>
      <c r="B76" s="214"/>
      <c r="C76" s="214"/>
      <c r="D76" s="216">
        <v>767.7</v>
      </c>
      <c r="E76" s="208"/>
      <c r="F76" s="216">
        <v>37614.339999999997</v>
      </c>
      <c r="G76" s="226"/>
      <c r="H76" s="217" t="s">
        <v>24</v>
      </c>
      <c r="I76" s="257"/>
      <c r="J76" s="220">
        <v>48.996144327211098</v>
      </c>
      <c r="K76" s="240">
        <v>48.996144327211098</v>
      </c>
      <c r="L76" s="273"/>
      <c r="M76" s="222"/>
      <c r="N76" s="222"/>
      <c r="O76" s="173"/>
    </row>
    <row r="77" spans="1:18" ht="15">
      <c r="A77" s="214" t="s">
        <v>94</v>
      </c>
      <c r="B77" s="214"/>
      <c r="C77" s="214"/>
      <c r="D77" s="216">
        <v>770.2</v>
      </c>
      <c r="E77" s="208"/>
      <c r="F77" s="216">
        <v>40708.32</v>
      </c>
      <c r="G77" s="226"/>
      <c r="H77" s="217" t="s">
        <v>24</v>
      </c>
      <c r="I77" s="257"/>
      <c r="J77" s="220">
        <v>52.854219683199197</v>
      </c>
      <c r="K77" s="240">
        <v>52.854219683199197</v>
      </c>
      <c r="L77" s="276"/>
      <c r="M77" s="245"/>
      <c r="N77" s="222"/>
      <c r="O77" s="173"/>
    </row>
    <row r="78" spans="1:18" ht="15">
      <c r="A78" s="214" t="s">
        <v>102</v>
      </c>
      <c r="B78" s="214"/>
      <c r="C78" s="214"/>
      <c r="D78" s="216"/>
      <c r="E78" s="208"/>
      <c r="F78" s="216"/>
      <c r="G78" s="226"/>
      <c r="H78" s="217"/>
      <c r="I78" s="257"/>
      <c r="J78" s="220"/>
      <c r="K78" s="240"/>
      <c r="L78" s="276"/>
      <c r="M78" s="245"/>
      <c r="N78" s="222"/>
      <c r="O78" s="173"/>
      <c r="P78" s="1"/>
      <c r="Q78" s="1"/>
      <c r="R78" s="1"/>
    </row>
    <row r="79" spans="1:18" ht="15">
      <c r="A79" s="262" t="s">
        <v>126</v>
      </c>
      <c r="B79" s="262"/>
      <c r="C79" s="262"/>
      <c r="D79" s="263">
        <v>770.2</v>
      </c>
      <c r="E79" s="218"/>
      <c r="F79" s="263">
        <v>42489.22</v>
      </c>
      <c r="G79" s="264"/>
      <c r="H79" s="218" t="s">
        <v>24</v>
      </c>
      <c r="I79" s="266"/>
      <c r="J79" s="239">
        <v>55.166476239937701</v>
      </c>
      <c r="K79" s="240">
        <v>55.166476239937701</v>
      </c>
      <c r="L79" s="281"/>
      <c r="M79" s="267"/>
      <c r="N79" s="268"/>
      <c r="O79" s="269"/>
      <c r="P79" s="84"/>
      <c r="Q79" s="84"/>
      <c r="R79" s="84"/>
    </row>
    <row r="80" spans="1:18" s="307" customFormat="1" ht="15">
      <c r="A80" s="299" t="s">
        <v>143</v>
      </c>
      <c r="B80" s="299"/>
      <c r="C80" s="299"/>
      <c r="D80" s="300">
        <v>801.8</v>
      </c>
      <c r="E80" s="301"/>
      <c r="F80" s="300">
        <v>45857.97</v>
      </c>
      <c r="G80" s="302"/>
      <c r="H80" s="301" t="s">
        <v>24</v>
      </c>
      <c r="I80" s="303"/>
      <c r="J80" s="304">
        <v>57.193776502868602</v>
      </c>
      <c r="K80" s="304">
        <v>57.193776502868602</v>
      </c>
      <c r="L80" s="305"/>
      <c r="M80" s="306"/>
      <c r="O80" s="308"/>
      <c r="Q80" s="309"/>
    </row>
    <row r="81" spans="1:15" s="83" customFormat="1" ht="15.75">
      <c r="A81" s="311" t="s">
        <v>181</v>
      </c>
      <c r="B81" s="311"/>
      <c r="C81" s="311"/>
      <c r="D81" s="311">
        <v>801.8</v>
      </c>
      <c r="E81" s="312"/>
      <c r="F81" s="343">
        <f>+J66</f>
        <v>47154.771199999996</v>
      </c>
      <c r="G81" s="313"/>
      <c r="H81" s="314"/>
      <c r="I81" s="315"/>
      <c r="J81" s="312">
        <f>+F81/D81</f>
        <v>58.811138937390865</v>
      </c>
      <c r="K81" s="316"/>
      <c r="L81" s="317"/>
      <c r="M81" s="311"/>
      <c r="N81" s="317">
        <f>+F81/F80</f>
        <v>1.0282786438213465</v>
      </c>
      <c r="O81" s="344" t="s">
        <v>182</v>
      </c>
    </row>
    <row r="82" spans="1:15">
      <c r="A82" s="172" t="s">
        <v>62</v>
      </c>
      <c r="B82" s="173"/>
      <c r="C82" s="173"/>
      <c r="D82" s="173"/>
      <c r="E82" s="187"/>
      <c r="F82" s="174"/>
      <c r="G82" s="255"/>
      <c r="H82" s="175"/>
      <c r="I82" s="260"/>
      <c r="J82" s="187"/>
      <c r="K82" s="189"/>
      <c r="L82" s="283"/>
      <c r="M82" s="173"/>
      <c r="N82" s="173"/>
      <c r="O82" s="173"/>
    </row>
    <row r="83" spans="1:15">
      <c r="E83" s="9"/>
      <c r="F83" s="26"/>
      <c r="G83" s="126"/>
      <c r="H83" s="126"/>
      <c r="I83" s="261"/>
      <c r="J83" s="188"/>
      <c r="K83" s="298"/>
      <c r="L83" s="284"/>
    </row>
    <row r="84" spans="1:15">
      <c r="E84" s="9"/>
      <c r="F84" s="26"/>
      <c r="G84" s="126"/>
      <c r="H84" s="126"/>
      <c r="I84" s="261"/>
      <c r="J84" s="188"/>
      <c r="K84" s="298"/>
      <c r="L84" s="284"/>
    </row>
  </sheetData>
  <conditionalFormatting sqref="N28">
    <cfRule type="colorScale" priority="1">
      <colorScale>
        <cfvo type="num" val="-5"/>
        <cfvo type="percentile" val="0"/>
        <cfvo type="num" val="5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61" workbookViewId="0">
      <selection activeCell="D72" sqref="D72"/>
    </sheetView>
  </sheetViews>
  <sheetFormatPr defaultRowHeight="12.75"/>
  <cols>
    <col min="1" max="1" width="15.140625" customWidth="1"/>
    <col min="4" max="4" width="29.42578125" customWidth="1"/>
    <col min="5" max="5" width="9.140625" style="25"/>
    <col min="7" max="7" width="10.140625" customWidth="1"/>
    <col min="8" max="8" width="12" customWidth="1"/>
    <col min="9" max="9" width="11.5703125" customWidth="1"/>
    <col min="11" max="11" width="13.140625" customWidth="1"/>
    <col min="14" max="14" width="9.140625" customWidth="1"/>
  </cols>
  <sheetData>
    <row r="1" spans="1:18" ht="15">
      <c r="A1" s="213" t="s">
        <v>0</v>
      </c>
      <c r="B1" s="222"/>
      <c r="C1" s="222"/>
      <c r="D1" s="222"/>
      <c r="E1" s="375" t="s">
        <v>187</v>
      </c>
      <c r="F1" s="214"/>
      <c r="G1" s="226"/>
      <c r="H1" s="223"/>
      <c r="I1" s="256"/>
      <c r="J1" s="208"/>
      <c r="K1" s="224"/>
      <c r="L1" s="273"/>
      <c r="M1" s="222"/>
      <c r="N1" s="222"/>
      <c r="O1" s="173"/>
    </row>
    <row r="2" spans="1:18" ht="15">
      <c r="A2" s="222"/>
      <c r="B2" s="222"/>
      <c r="C2" s="222"/>
      <c r="D2" s="222"/>
      <c r="E2" s="375"/>
      <c r="F2" s="204"/>
      <c r="G2" s="251"/>
      <c r="H2" s="223"/>
      <c r="I2" s="256"/>
      <c r="J2" s="208"/>
      <c r="K2" s="224"/>
      <c r="L2" s="273"/>
      <c r="M2" s="222"/>
      <c r="N2" s="222"/>
      <c r="O2" s="173"/>
    </row>
    <row r="3" spans="1:18" ht="15">
      <c r="A3" s="222"/>
      <c r="B3" s="222"/>
      <c r="C3" s="222"/>
      <c r="D3" s="222"/>
      <c r="E3" s="375" t="s">
        <v>1</v>
      </c>
      <c r="F3" s="214"/>
      <c r="G3" s="226"/>
      <c r="H3" s="223"/>
      <c r="I3" s="257" t="s">
        <v>128</v>
      </c>
      <c r="J3" s="191" t="s">
        <v>133</v>
      </c>
      <c r="K3" s="224"/>
      <c r="L3" s="273"/>
      <c r="M3" s="222"/>
      <c r="N3" s="222"/>
      <c r="O3" s="173"/>
    </row>
    <row r="4" spans="1:18" ht="15">
      <c r="A4" s="222"/>
      <c r="B4" s="222"/>
      <c r="C4" s="222"/>
      <c r="D4" s="222"/>
      <c r="E4" s="375" t="s">
        <v>145</v>
      </c>
      <c r="F4" s="214"/>
      <c r="G4" s="402" t="s">
        <v>19</v>
      </c>
      <c r="H4" s="208" t="s">
        <v>20</v>
      </c>
      <c r="I4" s="403" t="s">
        <v>120</v>
      </c>
      <c r="J4" s="208" t="s">
        <v>134</v>
      </c>
      <c r="K4" s="208" t="s">
        <v>79</v>
      </c>
      <c r="L4" s="273"/>
      <c r="M4" s="222"/>
      <c r="N4" s="227" t="s">
        <v>2</v>
      </c>
      <c r="O4" s="173"/>
    </row>
    <row r="5" spans="1:18" ht="15">
      <c r="A5" s="213" t="s">
        <v>3</v>
      </c>
      <c r="B5" s="213"/>
      <c r="C5" s="222"/>
      <c r="D5" s="222"/>
      <c r="E5" s="375"/>
      <c r="F5" s="204"/>
      <c r="G5" s="251"/>
      <c r="H5" s="223"/>
      <c r="I5" s="256"/>
      <c r="J5" s="192" t="s">
        <v>184</v>
      </c>
      <c r="K5" s="224"/>
      <c r="L5" s="273"/>
      <c r="M5" s="222"/>
      <c r="N5" s="222"/>
      <c r="O5" s="173"/>
    </row>
    <row r="6" spans="1:18" ht="15">
      <c r="A6" s="222"/>
      <c r="B6" s="222"/>
      <c r="C6" s="222"/>
      <c r="D6" s="222"/>
      <c r="E6" s="375"/>
      <c r="F6" s="204"/>
      <c r="G6" s="251"/>
      <c r="H6" s="223"/>
      <c r="I6" s="256"/>
      <c r="J6" s="208"/>
      <c r="K6" s="224"/>
      <c r="L6" s="273"/>
      <c r="M6" s="222"/>
      <c r="N6" s="222"/>
      <c r="O6" s="173"/>
    </row>
    <row r="7" spans="1:18" ht="15">
      <c r="A7" s="213" t="s">
        <v>4</v>
      </c>
      <c r="B7" s="222"/>
      <c r="C7" s="222"/>
      <c r="D7" s="222"/>
      <c r="E7" s="375"/>
      <c r="F7" s="204"/>
      <c r="G7" s="251"/>
      <c r="H7" s="223"/>
      <c r="I7" s="256"/>
      <c r="J7" s="208"/>
      <c r="K7" s="224"/>
      <c r="L7" s="273"/>
      <c r="M7" s="222"/>
      <c r="N7" s="222"/>
      <c r="O7" s="173"/>
    </row>
    <row r="8" spans="1:18" s="25" customFormat="1" ht="15">
      <c r="A8" s="381">
        <v>1</v>
      </c>
      <c r="B8" s="382" t="s">
        <v>147</v>
      </c>
      <c r="C8" s="383"/>
      <c r="D8" s="384"/>
      <c r="E8" s="410">
        <f>+'Budget 18-19'!J8</f>
        <v>10383.931200000001</v>
      </c>
      <c r="F8" s="385"/>
      <c r="G8" s="412">
        <v>5997.32</v>
      </c>
      <c r="H8" s="460">
        <v>4699.1499999999996</v>
      </c>
      <c r="I8" s="415">
        <v>0</v>
      </c>
      <c r="J8" s="406">
        <v>10591.61</v>
      </c>
      <c r="K8" s="412"/>
      <c r="L8" s="386">
        <v>0.02</v>
      </c>
      <c r="M8" s="383"/>
      <c r="N8" s="401" t="s">
        <v>185</v>
      </c>
      <c r="O8" s="387"/>
      <c r="P8" s="155"/>
      <c r="R8" s="61"/>
    </row>
    <row r="9" spans="1:18" ht="15">
      <c r="A9" s="39"/>
      <c r="B9" s="290" t="s">
        <v>157</v>
      </c>
      <c r="C9" s="222"/>
      <c r="D9" s="222"/>
      <c r="E9" s="410">
        <f>+'Budget 18-19'!J9</f>
        <v>555</v>
      </c>
      <c r="F9" s="204"/>
      <c r="G9" s="413">
        <v>323.75</v>
      </c>
      <c r="H9" s="461">
        <v>231.25</v>
      </c>
      <c r="I9" s="416">
        <v>0</v>
      </c>
      <c r="J9" s="407">
        <v>450</v>
      </c>
      <c r="K9" s="414">
        <v>150</v>
      </c>
      <c r="L9" s="274">
        <v>0</v>
      </c>
      <c r="M9" s="222"/>
      <c r="N9" s="222"/>
      <c r="O9" s="173"/>
      <c r="R9" s="61"/>
    </row>
    <row r="10" spans="1:18" ht="15">
      <c r="A10" s="39">
        <v>2</v>
      </c>
      <c r="B10" s="290" t="s">
        <v>148</v>
      </c>
      <c r="C10" s="222"/>
      <c r="D10" s="222"/>
      <c r="E10" s="410">
        <f>+'Budget 18-19'!J10</f>
        <v>450</v>
      </c>
      <c r="F10" s="204"/>
      <c r="G10" s="413">
        <v>323.98</v>
      </c>
      <c r="H10" s="461">
        <v>126.02</v>
      </c>
      <c r="I10" s="416">
        <v>0</v>
      </c>
      <c r="J10" s="407">
        <f t="shared" ref="J10:J23" si="0">+E10*(1+L10)</f>
        <v>450</v>
      </c>
      <c r="K10" s="414">
        <v>100</v>
      </c>
      <c r="L10" s="274">
        <v>0</v>
      </c>
      <c r="M10" s="222"/>
      <c r="N10" s="222"/>
      <c r="O10" s="173"/>
      <c r="R10" s="61"/>
    </row>
    <row r="11" spans="1:18" ht="15">
      <c r="A11" s="39">
        <v>3</v>
      </c>
      <c r="B11" s="290" t="s">
        <v>149</v>
      </c>
      <c r="C11" s="222"/>
      <c r="D11" s="222"/>
      <c r="E11" s="410">
        <f>+'Budget 18-19'!J11</f>
        <v>560</v>
      </c>
      <c r="F11" s="204"/>
      <c r="G11" s="413">
        <v>699</v>
      </c>
      <c r="H11" s="4">
        <v>-139</v>
      </c>
      <c r="I11" s="416">
        <v>0</v>
      </c>
      <c r="J11" s="407">
        <v>700</v>
      </c>
      <c r="K11" s="414"/>
      <c r="L11" s="274">
        <v>0</v>
      </c>
      <c r="M11" s="222"/>
      <c r="N11" s="222"/>
      <c r="O11" s="173"/>
      <c r="R11" s="61"/>
    </row>
    <row r="12" spans="1:18" ht="15">
      <c r="A12" s="39">
        <v>4</v>
      </c>
      <c r="B12" s="290" t="s">
        <v>175</v>
      </c>
      <c r="C12" s="222"/>
      <c r="D12" s="222"/>
      <c r="E12" s="410">
        <f>+'Budget 18-19'!J12</f>
        <v>1100</v>
      </c>
      <c r="F12" s="204"/>
      <c r="G12" s="413">
        <v>1186.48</v>
      </c>
      <c r="H12" s="4">
        <v>-86.48</v>
      </c>
      <c r="I12" s="416">
        <v>0</v>
      </c>
      <c r="J12" s="407">
        <v>1200</v>
      </c>
      <c r="K12" s="414"/>
      <c r="L12" s="274">
        <v>0</v>
      </c>
      <c r="M12" s="222"/>
      <c r="N12" s="222"/>
      <c r="O12" s="459"/>
      <c r="R12" s="61"/>
    </row>
    <row r="13" spans="1:18" ht="15">
      <c r="A13" s="39">
        <v>5</v>
      </c>
      <c r="B13" s="290" t="s">
        <v>150</v>
      </c>
      <c r="C13" s="222"/>
      <c r="D13" s="222"/>
      <c r="E13" s="410">
        <f>+'Budget 18-19'!J13</f>
        <v>17182</v>
      </c>
      <c r="F13" s="204"/>
      <c r="G13" s="413">
        <v>8591.0400000000009</v>
      </c>
      <c r="H13" s="461">
        <v>8591.0400000000009</v>
      </c>
      <c r="I13" s="416">
        <v>0</v>
      </c>
      <c r="J13" s="407">
        <f t="shared" si="0"/>
        <v>17182</v>
      </c>
      <c r="K13" s="414"/>
      <c r="L13" s="274">
        <v>0</v>
      </c>
      <c r="M13" s="222"/>
      <c r="N13" s="222"/>
      <c r="O13" s="173"/>
      <c r="R13" s="61"/>
    </row>
    <row r="14" spans="1:18" ht="15">
      <c r="A14" s="39">
        <v>6</v>
      </c>
      <c r="B14" s="290" t="s">
        <v>151</v>
      </c>
      <c r="C14" s="222"/>
      <c r="D14" s="222"/>
      <c r="E14" s="410">
        <f>+'Budget 18-19'!J14</f>
        <v>0</v>
      </c>
      <c r="F14" s="204"/>
      <c r="G14" s="413"/>
      <c r="H14" s="461"/>
      <c r="I14" s="416">
        <v>0</v>
      </c>
      <c r="J14" s="407">
        <f t="shared" si="0"/>
        <v>0</v>
      </c>
      <c r="K14" s="414"/>
      <c r="L14" s="274">
        <v>0</v>
      </c>
      <c r="M14" s="222"/>
      <c r="N14" s="222"/>
      <c r="O14" s="178"/>
      <c r="P14" s="12"/>
      <c r="R14" s="61"/>
    </row>
    <row r="15" spans="1:18" ht="15">
      <c r="A15" s="39">
        <v>7</v>
      </c>
      <c r="B15" s="290" t="s">
        <v>152</v>
      </c>
      <c r="C15" s="222"/>
      <c r="D15" s="222"/>
      <c r="E15" s="410">
        <f>+'Budget 18-19'!J15</f>
        <v>25</v>
      </c>
      <c r="F15" s="204"/>
      <c r="G15" s="413"/>
      <c r="H15" s="461"/>
      <c r="I15" s="416">
        <v>0</v>
      </c>
      <c r="J15" s="407">
        <f t="shared" si="0"/>
        <v>25</v>
      </c>
      <c r="K15" s="414">
        <v>25</v>
      </c>
      <c r="L15" s="274">
        <v>0</v>
      </c>
      <c r="M15" s="222"/>
      <c r="N15" s="222"/>
      <c r="O15" s="173"/>
      <c r="R15" s="61"/>
    </row>
    <row r="16" spans="1:18" ht="15">
      <c r="A16" s="39">
        <v>8</v>
      </c>
      <c r="B16" s="290" t="s">
        <v>174</v>
      </c>
      <c r="C16" s="222"/>
      <c r="D16" s="222"/>
      <c r="E16" s="410">
        <f>+'Budget 18-19'!J16</f>
        <v>300</v>
      </c>
      <c r="F16" s="204"/>
      <c r="G16" s="413"/>
      <c r="H16" s="461"/>
      <c r="I16" s="416">
        <v>0</v>
      </c>
      <c r="J16" s="407">
        <f t="shared" si="0"/>
        <v>300</v>
      </c>
      <c r="K16" s="414"/>
      <c r="L16" s="274">
        <v>0</v>
      </c>
      <c r="M16" s="222"/>
      <c r="N16" s="222"/>
      <c r="O16" s="173"/>
      <c r="R16" s="61"/>
    </row>
    <row r="17" spans="1:18" ht="15">
      <c r="A17" s="39">
        <v>9</v>
      </c>
      <c r="B17" s="290" t="s">
        <v>176</v>
      </c>
      <c r="C17" s="222"/>
      <c r="D17" s="222"/>
      <c r="E17" s="410">
        <f>+'Budget 18-19'!J17</f>
        <v>50</v>
      </c>
      <c r="F17" s="204"/>
      <c r="G17" s="413"/>
      <c r="H17" s="461"/>
      <c r="I17" s="416">
        <v>0</v>
      </c>
      <c r="J17" s="407">
        <f t="shared" si="0"/>
        <v>50</v>
      </c>
      <c r="K17" s="414"/>
      <c r="L17" s="274">
        <v>0</v>
      </c>
      <c r="M17" s="222"/>
      <c r="N17" s="222"/>
      <c r="O17" s="173"/>
      <c r="R17" s="61"/>
    </row>
    <row r="18" spans="1:18" ht="15">
      <c r="A18" s="39">
        <v>10</v>
      </c>
      <c r="B18" s="290" t="s">
        <v>153</v>
      </c>
      <c r="C18" s="222"/>
      <c r="D18" s="222"/>
      <c r="E18" s="410">
        <v>975</v>
      </c>
      <c r="F18" s="204"/>
      <c r="G18" s="413">
        <v>668.45</v>
      </c>
      <c r="H18" s="461">
        <v>668.45</v>
      </c>
      <c r="I18" s="416">
        <v>0</v>
      </c>
      <c r="J18" s="407">
        <v>700</v>
      </c>
      <c r="K18" s="414">
        <v>275</v>
      </c>
      <c r="L18" s="274">
        <v>0</v>
      </c>
      <c r="M18" s="222"/>
      <c r="N18" s="222" t="s">
        <v>137</v>
      </c>
      <c r="O18" s="173"/>
      <c r="R18" s="61"/>
    </row>
    <row r="19" spans="1:18" ht="15">
      <c r="A19" s="39">
        <v>11</v>
      </c>
      <c r="B19" s="290" t="s">
        <v>173</v>
      </c>
      <c r="C19" s="222"/>
      <c r="D19" s="222"/>
      <c r="E19" s="410">
        <f>+'Budget 18-19'!J19</f>
        <v>500</v>
      </c>
      <c r="F19" s="204"/>
      <c r="G19" s="413"/>
      <c r="H19" s="461"/>
      <c r="I19" s="416">
        <v>0</v>
      </c>
      <c r="J19" s="407">
        <f t="shared" si="0"/>
        <v>500</v>
      </c>
      <c r="K19" s="414">
        <v>500</v>
      </c>
      <c r="L19" s="274">
        <v>0</v>
      </c>
      <c r="M19" s="222"/>
      <c r="N19" s="222"/>
      <c r="O19" s="173"/>
      <c r="R19" s="61"/>
    </row>
    <row r="20" spans="1:18" ht="15">
      <c r="A20" s="40" t="s">
        <v>146</v>
      </c>
      <c r="B20" s="290" t="s">
        <v>154</v>
      </c>
      <c r="C20" s="222"/>
      <c r="D20" s="222"/>
      <c r="E20" s="410">
        <f>+'Budget 18-19'!J20</f>
        <v>438</v>
      </c>
      <c r="F20" s="204"/>
      <c r="G20" s="413">
        <v>438</v>
      </c>
      <c r="H20" s="461"/>
      <c r="I20" s="416"/>
      <c r="J20" s="407">
        <f t="shared" si="0"/>
        <v>438</v>
      </c>
      <c r="K20" s="414"/>
      <c r="L20" s="274">
        <v>0</v>
      </c>
      <c r="M20" s="222"/>
      <c r="N20" s="222"/>
      <c r="O20" s="173"/>
      <c r="R20" s="61"/>
    </row>
    <row r="21" spans="1:18" ht="15">
      <c r="A21" s="39">
        <v>12</v>
      </c>
      <c r="B21" s="290" t="s">
        <v>177</v>
      </c>
      <c r="C21" s="222"/>
      <c r="D21" s="222"/>
      <c r="E21" s="410">
        <f>+'Budget 18-19'!J21</f>
        <v>325</v>
      </c>
      <c r="F21" s="204"/>
      <c r="G21" s="413"/>
      <c r="H21" s="461"/>
      <c r="I21" s="416">
        <v>0</v>
      </c>
      <c r="J21" s="407">
        <f t="shared" si="0"/>
        <v>325</v>
      </c>
      <c r="K21" s="414">
        <v>325</v>
      </c>
      <c r="L21" s="274">
        <v>0</v>
      </c>
      <c r="M21" s="222"/>
      <c r="N21" s="222"/>
      <c r="O21" s="173"/>
      <c r="R21" s="61"/>
    </row>
    <row r="22" spans="1:18" ht="15">
      <c r="A22" s="39">
        <v>13</v>
      </c>
      <c r="B22" s="290" t="s">
        <v>155</v>
      </c>
      <c r="C22" s="222"/>
      <c r="D22" s="222"/>
      <c r="E22" s="410">
        <f>+'Budget 18-19'!J22</f>
        <v>632</v>
      </c>
      <c r="F22" s="204"/>
      <c r="G22" s="413"/>
      <c r="H22" s="461"/>
      <c r="I22" s="416">
        <v>0</v>
      </c>
      <c r="J22" s="407">
        <v>350</v>
      </c>
      <c r="K22" s="414">
        <v>282</v>
      </c>
      <c r="L22" s="274">
        <v>0</v>
      </c>
      <c r="M22" s="222"/>
      <c r="N22" s="222"/>
      <c r="O22" s="173"/>
      <c r="P22" s="12"/>
      <c r="R22" s="61"/>
    </row>
    <row r="23" spans="1:18" ht="15">
      <c r="A23" s="39">
        <v>14</v>
      </c>
      <c r="B23" s="290" t="s">
        <v>178</v>
      </c>
      <c r="C23" s="222"/>
      <c r="D23" s="222"/>
      <c r="E23" s="410">
        <f>+'Budget 18-19'!J23</f>
        <v>350</v>
      </c>
      <c r="F23" s="204"/>
      <c r="G23" s="413">
        <v>59.16</v>
      </c>
      <c r="H23" s="461">
        <v>177.48</v>
      </c>
      <c r="I23" s="416">
        <v>0</v>
      </c>
      <c r="J23" s="407">
        <f t="shared" si="0"/>
        <v>350</v>
      </c>
      <c r="K23" s="414">
        <v>172.52</v>
      </c>
      <c r="L23" s="274">
        <v>0</v>
      </c>
      <c r="M23" s="222"/>
      <c r="N23" s="222"/>
      <c r="O23" s="173"/>
      <c r="P23" s="166"/>
      <c r="Q23" s="25"/>
      <c r="R23" s="61"/>
    </row>
    <row r="24" spans="1:18" ht="15">
      <c r="A24" s="39">
        <v>15</v>
      </c>
      <c r="B24" s="294" t="s">
        <v>156</v>
      </c>
      <c r="C24" s="228"/>
      <c r="D24" s="228"/>
      <c r="E24" s="410">
        <f>+'Budget 18-19'!J24</f>
        <v>100</v>
      </c>
      <c r="F24" s="205"/>
      <c r="G24" s="414">
        <v>8.49</v>
      </c>
      <c r="H24" s="462">
        <v>300</v>
      </c>
      <c r="I24" s="416">
        <v>0</v>
      </c>
      <c r="J24" s="407">
        <v>350</v>
      </c>
      <c r="K24" s="414"/>
      <c r="L24" s="274">
        <v>0</v>
      </c>
      <c r="M24" s="228"/>
      <c r="N24" s="228"/>
      <c r="O24" s="177"/>
      <c r="P24" s="166"/>
      <c r="Q24" s="25"/>
      <c r="R24" s="61"/>
    </row>
    <row r="25" spans="1:18" ht="15">
      <c r="A25" s="291"/>
      <c r="B25" s="228"/>
      <c r="C25" s="228"/>
      <c r="D25" s="228"/>
      <c r="E25" s="410"/>
      <c r="F25" s="205"/>
      <c r="G25" s="230"/>
      <c r="H25" s="463"/>
      <c r="I25" s="416"/>
      <c r="J25" s="408"/>
      <c r="K25" s="414"/>
      <c r="L25" s="274"/>
      <c r="M25" s="228"/>
      <c r="N25" s="228"/>
      <c r="O25" s="177"/>
      <c r="P25" s="130"/>
      <c r="Q25" s="139"/>
      <c r="R25" s="136"/>
    </row>
    <row r="26" spans="1:18" ht="15">
      <c r="A26" s="292"/>
      <c r="B26" s="235"/>
      <c r="C26" s="235"/>
      <c r="D26" s="198" t="s">
        <v>18</v>
      </c>
      <c r="E26" s="411">
        <f>SUM(E8:E24)</f>
        <v>33925.931199999999</v>
      </c>
      <c r="F26" s="200"/>
      <c r="G26" s="409">
        <f t="shared" ref="G26:H26" si="1">SUM(G8:G24)</f>
        <v>18295.670000000002</v>
      </c>
      <c r="H26" s="464">
        <f t="shared" si="1"/>
        <v>14567.910000000002</v>
      </c>
      <c r="I26" s="417"/>
      <c r="J26" s="409">
        <f>SUM(J8:J24)</f>
        <v>33961.61</v>
      </c>
      <c r="K26" s="418">
        <f>SUM(K8:K24)</f>
        <v>1829.52</v>
      </c>
      <c r="L26" s="275"/>
      <c r="M26" s="235"/>
      <c r="N26" s="235"/>
      <c r="O26" s="454"/>
      <c r="R26" s="25"/>
    </row>
    <row r="27" spans="1:18" ht="15">
      <c r="A27" s="293"/>
      <c r="B27" s="222"/>
      <c r="C27" s="222"/>
      <c r="D27" s="222"/>
      <c r="E27" s="376"/>
      <c r="F27" s="204"/>
      <c r="G27" s="251"/>
      <c r="H27" s="465"/>
      <c r="I27" s="256"/>
      <c r="J27" s="195"/>
      <c r="K27" s="240"/>
      <c r="L27" s="276"/>
      <c r="M27" s="236"/>
      <c r="N27" s="222"/>
      <c r="O27" s="173"/>
      <c r="R27" s="25"/>
    </row>
    <row r="28" spans="1:18" ht="15">
      <c r="A28" s="295" t="s">
        <v>5</v>
      </c>
      <c r="B28" s="222"/>
      <c r="C28" s="222"/>
      <c r="D28" s="222"/>
      <c r="E28" s="376"/>
      <c r="F28" s="204"/>
      <c r="G28" s="251"/>
      <c r="H28" s="465"/>
      <c r="I28" s="256"/>
      <c r="J28" s="195"/>
      <c r="K28" s="240"/>
      <c r="L28" s="276"/>
      <c r="M28" s="236"/>
      <c r="N28" s="222"/>
      <c r="O28" s="173"/>
      <c r="P28" s="12"/>
      <c r="R28" s="61"/>
    </row>
    <row r="29" spans="1:18" ht="15">
      <c r="A29" s="39">
        <v>16</v>
      </c>
      <c r="B29" s="290" t="s">
        <v>160</v>
      </c>
      <c r="C29" s="222"/>
      <c r="D29" s="222"/>
      <c r="E29" s="410">
        <f>+'Budget 18-19'!J29</f>
        <v>2250</v>
      </c>
      <c r="F29" s="419"/>
      <c r="G29" s="413">
        <v>1535</v>
      </c>
      <c r="H29" s="461">
        <v>715</v>
      </c>
      <c r="I29" s="5"/>
      <c r="J29" s="407">
        <f t="shared" ref="J29:J37" si="2">+E29*(1+L29)</f>
        <v>2250</v>
      </c>
      <c r="K29" s="414"/>
      <c r="L29" s="274">
        <v>0</v>
      </c>
      <c r="M29" s="222"/>
      <c r="N29" s="222"/>
      <c r="O29" s="173"/>
      <c r="R29" s="61"/>
    </row>
    <row r="30" spans="1:18" ht="15">
      <c r="A30" s="39">
        <v>17</v>
      </c>
      <c r="B30" s="290" t="s">
        <v>161</v>
      </c>
      <c r="C30" s="222"/>
      <c r="D30" s="222"/>
      <c r="E30" s="410">
        <v>1700</v>
      </c>
      <c r="F30" s="419"/>
      <c r="G30" s="413"/>
      <c r="H30" s="461">
        <v>1700</v>
      </c>
      <c r="I30" s="5"/>
      <c r="J30" s="407">
        <f t="shared" si="2"/>
        <v>1700</v>
      </c>
      <c r="K30" s="414"/>
      <c r="L30" s="274">
        <v>0</v>
      </c>
      <c r="M30" s="222"/>
      <c r="N30" s="222"/>
      <c r="O30" s="173"/>
      <c r="R30" s="61"/>
    </row>
    <row r="31" spans="1:18" s="25" customFormat="1" ht="15">
      <c r="A31" s="381">
        <v>18</v>
      </c>
      <c r="B31" s="388" t="s">
        <v>162</v>
      </c>
      <c r="C31" s="389"/>
      <c r="D31" s="389"/>
      <c r="E31" s="410">
        <f>+'Budget 18-19'!J31</f>
        <v>0</v>
      </c>
      <c r="F31" s="420"/>
      <c r="G31" s="421"/>
      <c r="H31" s="4">
        <v>-113.7</v>
      </c>
      <c r="I31" s="5"/>
      <c r="J31" s="406">
        <v>150</v>
      </c>
      <c r="K31" s="412"/>
      <c r="L31" s="386">
        <v>0</v>
      </c>
      <c r="M31" s="389"/>
      <c r="N31" s="389"/>
      <c r="O31" s="390"/>
      <c r="R31" s="61"/>
    </row>
    <row r="32" spans="1:18" ht="15">
      <c r="A32" s="39">
        <v>19</v>
      </c>
      <c r="B32" s="290" t="s">
        <v>163</v>
      </c>
      <c r="C32" s="222"/>
      <c r="D32" s="222"/>
      <c r="E32" s="410">
        <f>+'Budget 18-19'!J32</f>
        <v>500</v>
      </c>
      <c r="F32" s="419"/>
      <c r="G32" s="413"/>
      <c r="H32" s="461"/>
      <c r="I32" s="5"/>
      <c r="J32" s="407">
        <f t="shared" si="2"/>
        <v>500</v>
      </c>
      <c r="K32" s="414">
        <v>500</v>
      </c>
      <c r="L32" s="274">
        <v>0</v>
      </c>
      <c r="M32" s="222"/>
      <c r="N32" s="222"/>
      <c r="O32" s="173"/>
      <c r="R32" s="61"/>
    </row>
    <row r="33" spans="1:19" ht="15">
      <c r="A33" s="39">
        <v>20</v>
      </c>
      <c r="B33" s="290" t="s">
        <v>164</v>
      </c>
      <c r="C33" s="222"/>
      <c r="D33" s="222"/>
      <c r="E33" s="410">
        <f>+'Budget 18-19'!J33</f>
        <v>325</v>
      </c>
      <c r="F33" s="419"/>
      <c r="G33" s="413"/>
      <c r="H33" s="461">
        <v>325</v>
      </c>
      <c r="I33" s="5"/>
      <c r="J33" s="407">
        <f t="shared" si="2"/>
        <v>325</v>
      </c>
      <c r="K33" s="414"/>
      <c r="L33" s="274">
        <v>0</v>
      </c>
      <c r="M33" s="222"/>
      <c r="N33" s="222"/>
      <c r="O33" s="173"/>
      <c r="P33" s="25"/>
      <c r="Q33" s="25"/>
      <c r="R33" s="61"/>
    </row>
    <row r="34" spans="1:19" ht="15">
      <c r="A34" s="40">
        <v>21</v>
      </c>
      <c r="B34" s="294" t="s">
        <v>165</v>
      </c>
      <c r="C34" s="228"/>
      <c r="D34" s="228"/>
      <c r="E34" s="410">
        <f>+'Budget 18-19'!J34</f>
        <v>3000</v>
      </c>
      <c r="F34" s="422"/>
      <c r="G34" s="414"/>
      <c r="H34" s="462">
        <v>564</v>
      </c>
      <c r="I34" s="5"/>
      <c r="J34" s="407">
        <v>1000</v>
      </c>
      <c r="K34" s="414">
        <v>2436</v>
      </c>
      <c r="L34" s="274">
        <v>0</v>
      </c>
      <c r="M34" s="228"/>
      <c r="N34" s="228"/>
      <c r="O34" s="181"/>
      <c r="P34" s="155"/>
      <c r="Q34" s="155"/>
      <c r="R34" s="171"/>
    </row>
    <row r="35" spans="1:19" ht="15">
      <c r="A35" s="40" t="s">
        <v>158</v>
      </c>
      <c r="B35" s="318" t="s">
        <v>179</v>
      </c>
      <c r="C35" s="228"/>
      <c r="D35" s="228"/>
      <c r="E35" s="410">
        <f>+'Budget 18-19'!J35</f>
        <v>3000</v>
      </c>
      <c r="F35" s="422"/>
      <c r="G35" s="414"/>
      <c r="H35" s="462"/>
      <c r="I35" s="5"/>
      <c r="J35" s="407">
        <v>3000</v>
      </c>
      <c r="K35" s="414">
        <v>1500</v>
      </c>
      <c r="L35" s="274">
        <v>0</v>
      </c>
      <c r="M35" s="228"/>
      <c r="N35" s="228" t="s">
        <v>140</v>
      </c>
      <c r="O35" s="181"/>
      <c r="P35" s="155"/>
      <c r="Q35" s="155"/>
      <c r="R35" s="171"/>
    </row>
    <row r="36" spans="1:19" ht="15">
      <c r="A36" s="40" t="s">
        <v>159</v>
      </c>
      <c r="B36" s="294" t="s">
        <v>180</v>
      </c>
      <c r="C36" s="228"/>
      <c r="D36" s="228"/>
      <c r="E36" s="410">
        <f>+'Budget 18-19'!J36</f>
        <v>2500</v>
      </c>
      <c r="F36" s="422"/>
      <c r="G36" s="414"/>
      <c r="H36" s="462"/>
      <c r="I36" s="5"/>
      <c r="J36" s="407">
        <v>2500</v>
      </c>
      <c r="K36" s="414">
        <v>1250</v>
      </c>
      <c r="L36" s="274">
        <v>0</v>
      </c>
      <c r="M36" s="228"/>
      <c r="N36" s="228" t="s">
        <v>140</v>
      </c>
      <c r="O36" s="182"/>
    </row>
    <row r="37" spans="1:19" ht="15">
      <c r="A37" s="40">
        <v>22</v>
      </c>
      <c r="B37" s="290" t="s">
        <v>166</v>
      </c>
      <c r="C37" s="222"/>
      <c r="D37" s="222"/>
      <c r="E37" s="410">
        <f>+'Budget 18-19'!J37</f>
        <v>840</v>
      </c>
      <c r="F37" s="419"/>
      <c r="G37" s="413">
        <v>420</v>
      </c>
      <c r="H37" s="461">
        <v>420</v>
      </c>
      <c r="I37" s="5"/>
      <c r="J37" s="407">
        <f t="shared" si="2"/>
        <v>840</v>
      </c>
      <c r="K37" s="414"/>
      <c r="L37" s="274">
        <v>0</v>
      </c>
      <c r="M37" s="222"/>
      <c r="N37" s="222"/>
      <c r="O37" s="173"/>
      <c r="P37" s="130"/>
      <c r="Q37" s="130"/>
      <c r="R37" s="136"/>
    </row>
    <row r="38" spans="1:19" s="354" customFormat="1" ht="40.5" customHeight="1">
      <c r="A38" s="351"/>
      <c r="B38" s="351"/>
      <c r="C38" s="351"/>
      <c r="D38" s="351" t="s">
        <v>18</v>
      </c>
      <c r="E38" s="411">
        <f>SUM(E29:E37)</f>
        <v>14115</v>
      </c>
      <c r="F38" s="423"/>
      <c r="G38" s="424">
        <f t="shared" ref="G38:H38" si="3">SUM(G29:G37)</f>
        <v>1955</v>
      </c>
      <c r="H38" s="466">
        <f t="shared" si="3"/>
        <v>3610.3</v>
      </c>
      <c r="I38" s="425"/>
      <c r="J38" s="426">
        <f>SUM(J29:J37)</f>
        <v>12265</v>
      </c>
      <c r="K38" s="424">
        <f>SUM(K29:K37)</f>
        <v>5686</v>
      </c>
      <c r="L38" s="352"/>
      <c r="M38" s="351"/>
      <c r="N38" s="351"/>
      <c r="O38" s="454"/>
    </row>
    <row r="39" spans="1:19" ht="15">
      <c r="A39" s="213" t="s">
        <v>8</v>
      </c>
      <c r="B39" s="222"/>
      <c r="C39" s="222"/>
      <c r="D39" s="222"/>
      <c r="E39" s="376"/>
      <c r="F39" s="204"/>
      <c r="G39" s="254"/>
      <c r="H39" s="465"/>
      <c r="I39" s="256"/>
      <c r="J39" s="191"/>
      <c r="K39" s="240"/>
      <c r="L39" s="273"/>
      <c r="M39" s="222"/>
      <c r="N39" s="222"/>
      <c r="O39" s="173"/>
      <c r="R39" s="61"/>
    </row>
    <row r="40" spans="1:19" ht="15">
      <c r="A40" s="39">
        <v>23</v>
      </c>
      <c r="B40" s="290" t="s">
        <v>167</v>
      </c>
      <c r="C40" s="222"/>
      <c r="D40" s="222"/>
      <c r="E40" s="410">
        <f>+'Budget 18-19'!J40</f>
        <v>1358.57</v>
      </c>
      <c r="F40" s="419"/>
      <c r="G40" s="413">
        <v>640.01</v>
      </c>
      <c r="H40" s="461">
        <v>718.56</v>
      </c>
      <c r="I40" s="416">
        <v>0</v>
      </c>
      <c r="J40" s="407">
        <v>1400</v>
      </c>
      <c r="K40" s="244"/>
      <c r="L40" s="274">
        <v>0.03</v>
      </c>
      <c r="M40" s="222"/>
      <c r="N40" s="222"/>
      <c r="O40" s="173"/>
      <c r="P40" s="12"/>
      <c r="R40" s="61"/>
    </row>
    <row r="41" spans="1:19" ht="15">
      <c r="A41" s="39">
        <v>24</v>
      </c>
      <c r="B41" s="290" t="s">
        <v>168</v>
      </c>
      <c r="C41" s="222"/>
      <c r="D41" s="222"/>
      <c r="E41" s="410">
        <f>+'Budget 18-19'!J41</f>
        <v>1146.3900000000001</v>
      </c>
      <c r="F41" s="419"/>
      <c r="G41" s="413">
        <v>806.61</v>
      </c>
      <c r="H41" s="461">
        <v>330.78</v>
      </c>
      <c r="I41" s="416">
        <v>0</v>
      </c>
      <c r="J41" s="407">
        <v>1181</v>
      </c>
      <c r="K41" s="244"/>
      <c r="L41" s="274">
        <v>0.03</v>
      </c>
      <c r="M41" s="222"/>
      <c r="N41" s="222"/>
      <c r="O41" s="173"/>
      <c r="P41" s="130"/>
      <c r="Q41" s="139"/>
      <c r="R41" s="142"/>
    </row>
    <row r="42" spans="1:19" s="361" customFormat="1" ht="40.5" customHeight="1">
      <c r="A42" s="358"/>
      <c r="B42" s="358"/>
      <c r="C42" s="358"/>
      <c r="D42" s="351" t="s">
        <v>18</v>
      </c>
      <c r="E42" s="427">
        <f>+'Budget 18-19'!J42</f>
        <v>2504.96</v>
      </c>
      <c r="F42" s="428"/>
      <c r="G42" s="424">
        <f t="shared" ref="G42:H42" si="4">SUM(G40:G41)</f>
        <v>1446.62</v>
      </c>
      <c r="H42" s="466">
        <f t="shared" si="4"/>
        <v>1049.3399999999999</v>
      </c>
      <c r="I42" s="425"/>
      <c r="J42" s="426">
        <f>SUM(J40:J41)</f>
        <v>2581</v>
      </c>
      <c r="K42" s="424">
        <f>SUM(K40:K41)</f>
        <v>0</v>
      </c>
      <c r="L42" s="359"/>
      <c r="M42" s="358"/>
      <c r="N42" s="358"/>
      <c r="O42" s="353">
        <f>1-(+E42/(J42-K42))</f>
        <v>2.9461449050755539E-2</v>
      </c>
      <c r="P42" s="360"/>
    </row>
    <row r="43" spans="1:19" ht="15">
      <c r="A43" s="213" t="s">
        <v>9</v>
      </c>
      <c r="B43" s="222"/>
      <c r="C43" s="222"/>
      <c r="D43" s="222"/>
      <c r="E43" s="410" t="s">
        <v>121</v>
      </c>
      <c r="F43" s="419"/>
      <c r="G43" s="419"/>
      <c r="H43" s="467"/>
      <c r="I43" s="416"/>
      <c r="J43" s="429"/>
      <c r="K43" s="413"/>
      <c r="L43" s="273"/>
      <c r="M43" s="222"/>
      <c r="N43" s="222"/>
      <c r="O43" s="180"/>
      <c r="P43" s="4"/>
      <c r="R43" s="61"/>
    </row>
    <row r="44" spans="1:19" ht="15">
      <c r="A44" s="144">
        <v>25</v>
      </c>
      <c r="B44" s="330" t="s">
        <v>169</v>
      </c>
      <c r="C44" s="331"/>
      <c r="D44" s="331"/>
      <c r="E44" s="410">
        <f>+'Budget 18-19'!J44</f>
        <v>1000</v>
      </c>
      <c r="F44" s="430"/>
      <c r="G44" s="431"/>
      <c r="H44" s="468"/>
      <c r="I44" s="432">
        <v>0</v>
      </c>
      <c r="J44" s="433">
        <v>1000</v>
      </c>
      <c r="K44" s="434">
        <v>1000</v>
      </c>
      <c r="L44" s="328">
        <v>0</v>
      </c>
      <c r="M44" s="331"/>
      <c r="N44" s="331"/>
      <c r="O44" s="336"/>
      <c r="P44" s="144"/>
      <c r="Q44" s="144"/>
      <c r="R44" s="154"/>
      <c r="S44" s="144"/>
    </row>
    <row r="45" spans="1:19" ht="15">
      <c r="A45" s="144">
        <v>26</v>
      </c>
      <c r="B45" s="330" t="s">
        <v>170</v>
      </c>
      <c r="C45" s="331"/>
      <c r="D45" s="337"/>
      <c r="E45" s="410">
        <f>+'Budget 18-19'!J45</f>
        <v>125</v>
      </c>
      <c r="F45" s="430"/>
      <c r="G45" s="431">
        <v>120</v>
      </c>
      <c r="H45" s="468">
        <v>5</v>
      </c>
      <c r="I45" s="432">
        <v>0</v>
      </c>
      <c r="J45" s="433">
        <v>130</v>
      </c>
      <c r="K45" s="434"/>
      <c r="L45" s="328">
        <v>0</v>
      </c>
      <c r="M45" s="331"/>
      <c r="N45" s="331"/>
      <c r="O45" s="338"/>
      <c r="P45" s="144"/>
      <c r="Q45" s="144"/>
      <c r="R45" s="154"/>
      <c r="S45" s="144"/>
    </row>
    <row r="46" spans="1:19" ht="15">
      <c r="A46" s="144">
        <v>27</v>
      </c>
      <c r="B46" s="330" t="s">
        <v>171</v>
      </c>
      <c r="C46" s="331"/>
      <c r="D46" s="331"/>
      <c r="E46" s="410">
        <f>+'Budget 18-19'!J46</f>
        <v>25</v>
      </c>
      <c r="F46" s="430"/>
      <c r="G46" s="431"/>
      <c r="H46" s="468"/>
      <c r="I46" s="432">
        <v>0</v>
      </c>
      <c r="J46" s="433">
        <f>+E46*(1+L46)</f>
        <v>25</v>
      </c>
      <c r="K46" s="434">
        <v>25</v>
      </c>
      <c r="L46" s="328">
        <v>0</v>
      </c>
      <c r="M46" s="331"/>
      <c r="N46" s="331"/>
      <c r="O46" s="338"/>
      <c r="P46" s="144"/>
      <c r="Q46" s="144"/>
      <c r="R46" s="154"/>
      <c r="S46" s="144"/>
    </row>
    <row r="47" spans="1:19" ht="15">
      <c r="A47">
        <v>28</v>
      </c>
      <c r="B47" s="290" t="s">
        <v>172</v>
      </c>
      <c r="C47" s="222"/>
      <c r="D47" s="222"/>
      <c r="E47" s="410">
        <f>+'Budget 18-19'!J47</f>
        <v>600</v>
      </c>
      <c r="F47" s="419"/>
      <c r="G47" s="413">
        <v>515.84</v>
      </c>
      <c r="H47" s="461">
        <v>84.16</v>
      </c>
      <c r="I47" s="416">
        <v>0</v>
      </c>
      <c r="J47" s="407">
        <f>+E47*(1+L47)</f>
        <v>600</v>
      </c>
      <c r="K47" s="414"/>
      <c r="L47" s="274">
        <v>0</v>
      </c>
      <c r="M47" s="222"/>
      <c r="N47" s="222"/>
      <c r="O47" s="183"/>
    </row>
    <row r="48" spans="1:19" ht="15">
      <c r="A48" s="222"/>
      <c r="B48" s="222"/>
      <c r="C48" s="222"/>
      <c r="D48" s="222"/>
      <c r="E48" s="435"/>
      <c r="F48" s="419"/>
      <c r="G48" s="419"/>
      <c r="H48" s="467"/>
      <c r="I48" s="436"/>
      <c r="J48" s="437"/>
      <c r="K48" s="453"/>
      <c r="L48" s="273"/>
      <c r="M48" s="222"/>
      <c r="N48" s="222"/>
      <c r="O48" s="173"/>
      <c r="P48" s="130"/>
      <c r="Q48" s="139"/>
      <c r="R48" s="139"/>
    </row>
    <row r="49" spans="1:19" s="354" customFormat="1" ht="15">
      <c r="A49" s="355"/>
      <c r="B49" s="355"/>
      <c r="C49" s="355"/>
      <c r="D49" s="351" t="s">
        <v>18</v>
      </c>
      <c r="E49" s="438">
        <f>SUM(E44:E47)</f>
        <v>1750</v>
      </c>
      <c r="F49" s="423"/>
      <c r="G49" s="426">
        <f t="shared" ref="G49:H49" si="5">SUM(G44:G47)</f>
        <v>635.84</v>
      </c>
      <c r="H49" s="469">
        <f t="shared" si="5"/>
        <v>89.16</v>
      </c>
      <c r="I49" s="425"/>
      <c r="J49" s="426">
        <f>SUM(J44:J47)</f>
        <v>1755</v>
      </c>
      <c r="K49" s="424">
        <f>SUM(K44:K47)</f>
        <v>1025</v>
      </c>
      <c r="L49" s="356"/>
      <c r="M49" s="355"/>
      <c r="N49" s="355"/>
      <c r="O49" s="179"/>
      <c r="P49" s="357"/>
      <c r="Q49" s="357"/>
      <c r="R49" s="357"/>
      <c r="S49" s="357"/>
    </row>
    <row r="50" spans="1:19" ht="15">
      <c r="A50" s="222"/>
      <c r="B50" s="222"/>
      <c r="C50" s="222"/>
      <c r="D50" s="222"/>
      <c r="E50" s="435"/>
      <c r="F50" s="419"/>
      <c r="G50" s="419"/>
      <c r="H50" s="467"/>
      <c r="I50" s="416"/>
      <c r="J50" s="429"/>
      <c r="K50" s="212"/>
      <c r="L50" s="273"/>
      <c r="M50" s="236"/>
      <c r="N50" s="222"/>
      <c r="O50" s="173"/>
    </row>
    <row r="51" spans="1:19" ht="15">
      <c r="A51" s="213" t="s">
        <v>25</v>
      </c>
      <c r="B51" s="222"/>
      <c r="C51" s="222"/>
      <c r="D51" s="222"/>
      <c r="E51" s="435"/>
      <c r="F51" s="419"/>
      <c r="G51" s="419"/>
      <c r="H51" s="467"/>
      <c r="I51" s="416"/>
      <c r="J51" s="429"/>
      <c r="K51" s="243"/>
      <c r="L51" s="276"/>
      <c r="M51" s="236"/>
      <c r="N51" s="222"/>
      <c r="O51" s="173"/>
      <c r="P51" s="12"/>
      <c r="R51" s="61"/>
    </row>
    <row r="52" spans="1:19" ht="15">
      <c r="A52">
        <v>29</v>
      </c>
      <c r="B52" s="222" t="s">
        <v>92</v>
      </c>
      <c r="C52" s="222"/>
      <c r="D52" s="222"/>
      <c r="E52" s="410">
        <f>+'Budget 18-19'!J52</f>
        <v>150</v>
      </c>
      <c r="F52" s="419"/>
      <c r="G52" s="413">
        <v>113.7</v>
      </c>
      <c r="H52" s="461">
        <v>36.299999999999997</v>
      </c>
      <c r="I52" s="416">
        <v>0</v>
      </c>
      <c r="J52" s="407">
        <f>+E52*(1+L52)</f>
        <v>150</v>
      </c>
      <c r="K52" s="244"/>
      <c r="L52" s="274">
        <v>0</v>
      </c>
      <c r="M52" s="222"/>
      <c r="N52" s="222"/>
      <c r="O52" s="173"/>
      <c r="P52" s="166"/>
      <c r="Q52" s="25"/>
      <c r="R52" s="61"/>
    </row>
    <row r="53" spans="1:19" ht="15">
      <c r="A53">
        <v>30</v>
      </c>
      <c r="B53" s="228" t="s">
        <v>122</v>
      </c>
      <c r="C53" s="228"/>
      <c r="D53" s="228"/>
      <c r="E53" s="410">
        <f>+'Budget 18-19'!J53</f>
        <v>8000</v>
      </c>
      <c r="F53" s="422"/>
      <c r="G53" s="414">
        <v>5375</v>
      </c>
      <c r="H53" s="462">
        <v>1550</v>
      </c>
      <c r="I53" s="416">
        <v>0</v>
      </c>
      <c r="J53" s="407">
        <v>7000</v>
      </c>
      <c r="K53" s="414">
        <v>1075</v>
      </c>
      <c r="L53" s="274">
        <v>0</v>
      </c>
      <c r="M53" s="228"/>
      <c r="N53" s="228" t="s">
        <v>140</v>
      </c>
      <c r="O53" s="177"/>
      <c r="R53" s="61"/>
    </row>
    <row r="54" spans="1:19" ht="15">
      <c r="A54">
        <v>31</v>
      </c>
      <c r="B54" s="228" t="s">
        <v>49</v>
      </c>
      <c r="C54" s="228"/>
      <c r="D54" s="228"/>
      <c r="E54" s="410">
        <v>500</v>
      </c>
      <c r="F54" s="422"/>
      <c r="G54" s="414"/>
      <c r="H54" s="456"/>
      <c r="I54" s="416">
        <v>0</v>
      </c>
      <c r="J54" s="407">
        <f>+E54*(1+L54)</f>
        <v>500</v>
      </c>
      <c r="K54" s="414">
        <v>500</v>
      </c>
      <c r="L54" s="274">
        <v>0</v>
      </c>
      <c r="M54" s="228"/>
      <c r="N54" s="228"/>
      <c r="O54" s="177"/>
      <c r="P54" s="166"/>
      <c r="Q54" s="25"/>
      <c r="R54" s="61"/>
    </row>
    <row r="55" spans="1:19" ht="15">
      <c r="A55">
        <v>32</v>
      </c>
      <c r="B55" s="222" t="s">
        <v>141</v>
      </c>
      <c r="C55" s="222"/>
      <c r="D55" s="222"/>
      <c r="E55" s="410">
        <v>2500</v>
      </c>
      <c r="F55" s="419"/>
      <c r="G55" s="413"/>
      <c r="H55" s="455"/>
      <c r="I55" s="416"/>
      <c r="J55" s="407">
        <v>2500</v>
      </c>
      <c r="K55" s="414">
        <v>2500</v>
      </c>
      <c r="L55" s="274">
        <v>0</v>
      </c>
      <c r="M55" s="222"/>
      <c r="N55" s="228" t="s">
        <v>140</v>
      </c>
      <c r="O55" s="173"/>
      <c r="P55" s="166"/>
      <c r="Q55" s="25"/>
      <c r="R55" s="61"/>
    </row>
    <row r="56" spans="1:19" ht="15">
      <c r="A56" s="405"/>
      <c r="B56" s="404" t="s">
        <v>186</v>
      </c>
      <c r="C56" s="405"/>
      <c r="D56" s="405"/>
      <c r="E56" s="439">
        <v>750</v>
      </c>
      <c r="F56" s="440"/>
      <c r="G56" s="440"/>
      <c r="H56" s="458"/>
      <c r="I56" s="440"/>
      <c r="J56" s="441">
        <v>750</v>
      </c>
      <c r="K56" s="414">
        <v>750</v>
      </c>
      <c r="L56" s="405"/>
      <c r="M56" s="405"/>
      <c r="N56" s="405"/>
      <c r="O56" s="405"/>
      <c r="P56" s="12"/>
      <c r="R56" s="61"/>
    </row>
    <row r="57" spans="1:19" ht="42" customHeight="1">
      <c r="A57" s="198"/>
      <c r="B57" s="222"/>
      <c r="C57" s="198"/>
      <c r="D57" s="211" t="s">
        <v>17</v>
      </c>
      <c r="E57" s="411">
        <f>SUM(E52:E55)</f>
        <v>11150</v>
      </c>
      <c r="F57" s="442"/>
      <c r="G57" s="409">
        <f>SUM(G52:G55)</f>
        <v>5488.7</v>
      </c>
      <c r="H57" s="457">
        <f>SUM(H52:H55)</f>
        <v>1586.3</v>
      </c>
      <c r="I57" s="417"/>
      <c r="J57" s="409">
        <f>SUM(J52:J55)</f>
        <v>10150</v>
      </c>
      <c r="K57" s="418">
        <f>SUM(K52:K56)</f>
        <v>4825</v>
      </c>
      <c r="L57" s="277"/>
      <c r="M57" s="198"/>
      <c r="N57" s="198"/>
      <c r="O57" s="179"/>
      <c r="P57" s="130"/>
      <c r="Q57" s="121"/>
      <c r="R57" s="130"/>
    </row>
    <row r="58" spans="1:19" ht="15">
      <c r="A58" s="222"/>
      <c r="B58" s="222"/>
      <c r="C58" s="222"/>
      <c r="D58" s="222"/>
      <c r="E58" s="435"/>
      <c r="F58" s="419"/>
      <c r="G58" s="196"/>
      <c r="H58" s="196"/>
      <c r="I58" s="416"/>
      <c r="J58" s="443"/>
      <c r="K58" s="413"/>
      <c r="L58" s="273"/>
      <c r="M58" s="222"/>
      <c r="N58" s="222"/>
      <c r="O58" s="173"/>
      <c r="R58" s="4"/>
    </row>
    <row r="59" spans="1:19" ht="15">
      <c r="A59" s="213" t="s">
        <v>81</v>
      </c>
      <c r="B59" s="222"/>
      <c r="C59" s="222"/>
      <c r="D59" s="222"/>
      <c r="E59" s="435"/>
      <c r="F59" s="419"/>
      <c r="G59" s="419"/>
      <c r="H59" s="419"/>
      <c r="I59" s="416"/>
      <c r="J59" s="429"/>
      <c r="K59" s="413"/>
      <c r="L59" s="276"/>
      <c r="M59" s="222"/>
      <c r="N59" s="222"/>
      <c r="O59" s="173"/>
    </row>
    <row r="60" spans="1:19" ht="15.75">
      <c r="A60" s="198" t="s">
        <v>37</v>
      </c>
      <c r="B60" s="198"/>
      <c r="C60" s="198"/>
      <c r="D60" s="198"/>
      <c r="E60" s="444">
        <f>+E26+E38+E42+E49+E57</f>
        <v>63445.891199999998</v>
      </c>
      <c r="F60" s="442"/>
      <c r="G60" s="201"/>
      <c r="H60" s="201"/>
      <c r="I60" s="417"/>
      <c r="J60" s="409">
        <f>+J26+J38+J42+J49+J57</f>
        <v>60712.61</v>
      </c>
      <c r="K60" s="418">
        <f>+K26+K38+K42+K49+K57</f>
        <v>13365.52</v>
      </c>
      <c r="L60" s="277"/>
      <c r="M60" s="198"/>
      <c r="N60" s="198"/>
      <c r="O60" s="179"/>
      <c r="P60" s="75"/>
      <c r="Q60" s="75"/>
      <c r="R60" s="75"/>
    </row>
    <row r="61" spans="1:19" ht="15">
      <c r="A61" s="222" t="s">
        <v>38</v>
      </c>
      <c r="B61" s="222"/>
      <c r="C61" s="222"/>
      <c r="D61" s="222"/>
      <c r="E61" s="435"/>
      <c r="F61" s="419"/>
      <c r="G61" s="232"/>
      <c r="H61" s="196"/>
      <c r="I61" s="416"/>
      <c r="J61" s="429"/>
      <c r="K61" s="241"/>
      <c r="L61" s="273"/>
      <c r="M61" s="222"/>
      <c r="N61" s="222"/>
      <c r="O61" s="185"/>
      <c r="P61" s="3"/>
      <c r="Q61" s="3"/>
      <c r="R61" s="3"/>
    </row>
    <row r="62" spans="1:19" ht="15">
      <c r="A62" s="222" t="s">
        <v>61</v>
      </c>
      <c r="B62" s="222"/>
      <c r="C62" s="222"/>
      <c r="D62" s="222"/>
      <c r="E62" s="435">
        <v>11537.49</v>
      </c>
      <c r="F62" s="419"/>
      <c r="G62" s="232"/>
      <c r="H62" s="196"/>
      <c r="I62" s="416"/>
      <c r="J62" s="429">
        <f>K60</f>
        <v>13365.52</v>
      </c>
      <c r="K62" s="212"/>
      <c r="L62" s="273"/>
      <c r="M62" s="222"/>
      <c r="N62" s="222"/>
      <c r="O62" s="178"/>
      <c r="P62" s="3"/>
      <c r="Q62" s="3"/>
      <c r="R62" s="3"/>
    </row>
    <row r="63" spans="1:19" ht="15">
      <c r="A63" s="222" t="s">
        <v>60</v>
      </c>
      <c r="B63" s="222"/>
      <c r="C63" s="222"/>
      <c r="D63" s="222"/>
      <c r="E63" s="435"/>
      <c r="F63" s="419"/>
      <c r="G63" s="232"/>
      <c r="H63" s="196"/>
      <c r="I63" s="416"/>
      <c r="J63" s="429"/>
      <c r="K63" s="243"/>
      <c r="L63" s="273"/>
      <c r="M63" s="222"/>
      <c r="N63" s="222"/>
      <c r="O63" s="178"/>
      <c r="P63" s="3"/>
      <c r="Q63" s="3"/>
      <c r="R63" s="3"/>
    </row>
    <row r="64" spans="1:19" ht="15">
      <c r="A64" s="222" t="s">
        <v>39</v>
      </c>
      <c r="B64" s="222"/>
      <c r="C64" s="222"/>
      <c r="D64" s="222"/>
      <c r="E64" s="435"/>
      <c r="F64" s="419"/>
      <c r="G64" s="232"/>
      <c r="H64" s="196"/>
      <c r="I64" s="416"/>
      <c r="J64" s="429"/>
      <c r="K64" s="241"/>
      <c r="L64" s="279"/>
      <c r="M64" s="213"/>
      <c r="N64" s="222"/>
      <c r="O64" s="178"/>
      <c r="P64" s="3"/>
      <c r="Q64" s="3"/>
      <c r="R64" s="3"/>
    </row>
    <row r="65" spans="1:19" ht="15">
      <c r="A65" s="222"/>
      <c r="B65" s="222"/>
      <c r="C65" s="222"/>
      <c r="D65" s="222"/>
      <c r="E65" s="435"/>
      <c r="F65" s="419"/>
      <c r="G65" s="232"/>
      <c r="H65" s="196"/>
      <c r="I65" s="416"/>
      <c r="J65" s="429"/>
      <c r="K65" s="241"/>
      <c r="L65" s="273"/>
      <c r="M65" s="222"/>
      <c r="N65" s="222"/>
      <c r="O65" s="178"/>
      <c r="P65" s="3"/>
      <c r="Q65" s="3"/>
      <c r="R65" s="3"/>
    </row>
    <row r="66" spans="1:19" ht="15">
      <c r="A66" s="331"/>
      <c r="B66" s="331"/>
      <c r="C66" s="331"/>
      <c r="D66" s="331"/>
      <c r="E66" s="435"/>
      <c r="F66" s="430"/>
      <c r="G66" s="445"/>
      <c r="H66" s="446"/>
      <c r="I66" s="432">
        <v>-0.25</v>
      </c>
      <c r="J66" s="433"/>
      <c r="K66" s="447"/>
      <c r="L66" s="341"/>
      <c r="M66" s="331"/>
      <c r="N66" s="342"/>
      <c r="O66" s="338"/>
      <c r="P66" s="143"/>
      <c r="Q66" s="143"/>
      <c r="R66" s="143"/>
      <c r="S66" s="144"/>
    </row>
    <row r="67" spans="1:19" ht="23.25">
      <c r="A67" s="213"/>
      <c r="B67" s="213" t="s">
        <v>142</v>
      </c>
      <c r="C67" s="213"/>
      <c r="D67" s="213"/>
      <c r="E67" s="435">
        <v>47714.55</v>
      </c>
      <c r="F67" s="448"/>
      <c r="G67" s="238"/>
      <c r="H67" s="449"/>
      <c r="I67" s="450"/>
      <c r="J67" s="443">
        <f>SUM(J60-J62)</f>
        <v>47347.09</v>
      </c>
      <c r="K67" s="451"/>
      <c r="L67" s="280"/>
      <c r="M67" s="270"/>
      <c r="N67" s="270"/>
      <c r="O67" s="179"/>
      <c r="P67" s="48"/>
      <c r="Q67" s="48"/>
      <c r="R67" s="48"/>
    </row>
    <row r="68" spans="1:19" ht="15">
      <c r="A68" s="222"/>
      <c r="B68" s="222"/>
      <c r="C68" s="222"/>
      <c r="D68" s="222"/>
      <c r="E68" s="377"/>
      <c r="F68" s="204"/>
      <c r="G68" s="251"/>
      <c r="H68" s="223"/>
      <c r="I68" s="256"/>
      <c r="J68" s="195"/>
      <c r="K68" s="224"/>
      <c r="L68" s="273"/>
      <c r="M68" s="222"/>
      <c r="N68" s="222"/>
      <c r="O68" s="173"/>
    </row>
    <row r="69" spans="1:19" s="84" customFormat="1" ht="15">
      <c r="A69" s="392" t="s">
        <v>143</v>
      </c>
      <c r="B69" s="392"/>
      <c r="C69" s="392"/>
      <c r="D69" s="393">
        <v>801.8</v>
      </c>
      <c r="E69" s="394"/>
      <c r="F69" s="393">
        <v>45857.97</v>
      </c>
      <c r="G69" s="395"/>
      <c r="H69" s="224" t="s">
        <v>24</v>
      </c>
      <c r="I69" s="396"/>
      <c r="J69" s="240"/>
      <c r="K69" s="240">
        <v>57.193776502868602</v>
      </c>
      <c r="L69" s="397"/>
      <c r="M69" s="398"/>
      <c r="N69" s="399"/>
      <c r="O69" s="368"/>
      <c r="P69" s="399"/>
      <c r="Q69" s="400"/>
      <c r="R69" s="399"/>
      <c r="S69" s="399"/>
    </row>
    <row r="70" spans="1:19" s="84" customFormat="1" ht="15.75">
      <c r="A70" s="363" t="s">
        <v>181</v>
      </c>
      <c r="B70" s="363"/>
      <c r="C70" s="363"/>
      <c r="D70" s="363">
        <v>801.8</v>
      </c>
      <c r="E70" s="378"/>
      <c r="F70" s="364">
        <v>47154</v>
      </c>
      <c r="G70" s="365"/>
      <c r="H70" s="362"/>
      <c r="I70" s="366"/>
      <c r="J70" s="362"/>
      <c r="K70" s="362">
        <v>58.81</v>
      </c>
      <c r="L70" s="367"/>
      <c r="M70" s="363"/>
      <c r="N70" s="367"/>
      <c r="O70" s="368"/>
      <c r="P70" s="369"/>
      <c r="Q70" s="369"/>
      <c r="R70" s="369"/>
      <c r="S70" s="369"/>
    </row>
    <row r="71" spans="1:19" s="1" customFormat="1" ht="15.75">
      <c r="A71" s="370" t="s">
        <v>183</v>
      </c>
      <c r="B71" s="370"/>
      <c r="C71" s="370"/>
      <c r="D71" s="370">
        <v>824.5</v>
      </c>
      <c r="E71" s="379"/>
      <c r="F71" s="371">
        <f>+J67</f>
        <v>47347.09</v>
      </c>
      <c r="G71" s="372"/>
      <c r="H71" s="312"/>
      <c r="I71" s="373"/>
      <c r="J71" s="312"/>
      <c r="K71" s="452">
        <f>+F71/D71</f>
        <v>57.425215281989082</v>
      </c>
      <c r="L71" s="374"/>
      <c r="M71" s="370"/>
      <c r="N71" s="374"/>
      <c r="O71" s="391">
        <f>+(F71-F70)/F71</f>
        <v>4.0781809399478728E-3</v>
      </c>
      <c r="P71" s="83"/>
      <c r="Q71" s="83"/>
      <c r="R71" s="83"/>
      <c r="S71" s="83"/>
    </row>
    <row r="72" spans="1:19">
      <c r="A72" s="172" t="s">
        <v>62</v>
      </c>
      <c r="B72" s="173"/>
      <c r="C72" s="173"/>
      <c r="D72" s="173"/>
      <c r="E72" s="380"/>
      <c r="F72" s="174"/>
      <c r="G72" s="255"/>
      <c r="H72" s="175"/>
      <c r="I72" s="260"/>
      <c r="J72" s="187"/>
      <c r="K72" s="189"/>
      <c r="L72" s="283"/>
      <c r="M72" s="173"/>
      <c r="N72" s="173"/>
      <c r="O72" s="173"/>
    </row>
    <row r="73" spans="1:19">
      <c r="E73" s="188"/>
      <c r="F73" s="26"/>
      <c r="G73" s="126"/>
      <c r="H73" s="126"/>
      <c r="I73" s="261"/>
      <c r="J73" s="188"/>
      <c r="K73" s="298"/>
      <c r="L73" s="284"/>
    </row>
    <row r="74" spans="1:19">
      <c r="E74" s="188"/>
      <c r="F74" s="26"/>
      <c r="G74" s="126"/>
      <c r="H74" s="126"/>
      <c r="I74" s="261"/>
      <c r="J74" s="188"/>
      <c r="K74" s="298"/>
      <c r="L74" s="284"/>
    </row>
    <row r="75" spans="1:19">
      <c r="K75" s="39"/>
    </row>
    <row r="76" spans="1:19">
      <c r="K76" s="39"/>
    </row>
  </sheetData>
  <conditionalFormatting sqref="N28">
    <cfRule type="colorScale" priority="1">
      <colorScale>
        <cfvo type="num" val="-5"/>
        <cfvo type="percentile" val="0"/>
        <cfvo type="num" val="5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15-16</vt:lpstr>
      <vt:lpstr>Budget 16 - 17</vt:lpstr>
      <vt:lpstr>Budget 17-18</vt:lpstr>
      <vt:lpstr>Budget 18-19</vt:lpstr>
      <vt:lpstr>Budget 19-20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Siggs</dc:creator>
  <cp:lastModifiedBy>David Siggs</cp:lastModifiedBy>
  <cp:lastPrinted>2018-10-30T12:26:58Z</cp:lastPrinted>
  <dcterms:created xsi:type="dcterms:W3CDTF">2006-11-09T14:19:16Z</dcterms:created>
  <dcterms:modified xsi:type="dcterms:W3CDTF">2018-12-11T16:06:24Z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